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ehef\Documents\ethanheffernan.com\content_portfolio\"/>
    </mc:Choice>
  </mc:AlternateContent>
  <xr:revisionPtr revIDLastSave="0" documentId="8_{A5269EA6-9EE8-4059-8DF1-6A84E6A8DFF7}" xr6:coauthVersionLast="47" xr6:coauthVersionMax="47" xr10:uidLastSave="{00000000-0000-0000-0000-000000000000}"/>
  <bookViews>
    <workbookView xWindow="-110" yWindow="-110" windowWidth="25180" windowHeight="16140" activeTab="1" xr2:uid="{A4F0EC2A-BE0F-41B8-A7C5-FB9E9558ECDA}"/>
  </bookViews>
  <sheets>
    <sheet name="Assumptions" sheetId="2" r:id="rId1"/>
    <sheet name="Monthlies" sheetId="3" r:id="rId2"/>
  </sheets>
  <definedNames>
    <definedName name="aov_g_pct">Assumptions!$F$8</definedName>
    <definedName name="cogs_g_pct">Assumptions!$F$7</definedName>
    <definedName name="fixed_opex">Assumptions!$F$5</definedName>
    <definedName name="ini_mktg_spend">Assumptions!$C$7</definedName>
    <definedName name="mktg_g_pct">Assumptions!$C$8</definedName>
    <definedName name="model_duration">Assumptions!$C$5</definedName>
    <definedName name="model_start_date">Assumptions!$C$4</definedName>
    <definedName name="period_end">_xlfn.ANCHORARRAY(Monthlies!$D$5)</definedName>
    <definedName name="period_number">_xlfn.ANCHORARRAY(Monthlies!$D$3)</definedName>
    <definedName name="period_start">_xlfn.ANCHORARRAY(Monthlies!$D$4)</definedName>
    <definedName name="returns_discounts_pct">Assumptions!$F$9</definedName>
    <definedName name="solver_adj" localSheetId="1" hidden="1">Assumptions!$J$5:$J$8,Assumptions!$C$7</definedName>
    <definedName name="solver_cvg" localSheetId="1" hidden="1">0.0001</definedName>
    <definedName name="solver_drv" localSheetId="1" hidden="1">2</definedName>
    <definedName name="solver_eng" localSheetId="1" hidden="1">2</definedName>
    <definedName name="solver_est" localSheetId="1" hidden="1">1</definedName>
    <definedName name="solver_itr" localSheetId="1" hidden="1">2147483647</definedName>
    <definedName name="solver_lhs1" localSheetId="1" hidden="1">Assumptions!$J$5</definedName>
    <definedName name="solver_lhs2" localSheetId="1" hidden="1">Assumptions!$J$6</definedName>
    <definedName name="solver_lhs3" localSheetId="1" hidden="1">Assumptions!$J$7</definedName>
    <definedName name="solver_lhs4" localSheetId="1" hidden="1">Assumptions!$J$8</definedName>
    <definedName name="solver_lhs5" localSheetId="1" hidden="1">Assumptions!#REF!</definedName>
    <definedName name="solver_lhs6" localSheetId="1" hidden="1">Assumptions!$C$7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6</definedName>
    <definedName name="solver_nwt" localSheetId="1" hidden="1">1</definedName>
    <definedName name="solver_opt" localSheetId="1" hidden="1">Monthlies!$D$80</definedName>
    <definedName name="solver_pre" localSheetId="1" hidden="1">0.000001</definedName>
    <definedName name="solver_rbv" localSheetId="1" hidden="1">2</definedName>
    <definedName name="solver_rel1" localSheetId="1" hidden="1">3</definedName>
    <definedName name="solver_rel2" localSheetId="1" hidden="1">3</definedName>
    <definedName name="solver_rel3" localSheetId="1" hidden="1">3</definedName>
    <definedName name="solver_rel4" localSheetId="1" hidden="1">3</definedName>
    <definedName name="solver_rel5" localSheetId="1" hidden="1">2</definedName>
    <definedName name="solver_rel6" localSheetId="1" hidden="1">1</definedName>
    <definedName name="solver_rhs1" localSheetId="1" hidden="1">1%</definedName>
    <definedName name="solver_rhs2" localSheetId="1" hidden="1">1%</definedName>
    <definedName name="solver_rhs3" localSheetId="1" hidden="1">1%</definedName>
    <definedName name="solver_rhs4" localSheetId="1" hidden="1">10%</definedName>
    <definedName name="solver_rhs5" localSheetId="1" hidden="1">1</definedName>
    <definedName name="solver_rhs6" localSheetId="1" hidden="1">500000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3" l="1" a="1"/>
  <c r="D75" i="3" s="1"/>
  <c r="K71" i="3"/>
  <c r="E108" i="3"/>
  <c r="E118" i="3" s="1"/>
  <c r="F108" i="3"/>
  <c r="F118" i="3" s="1"/>
  <c r="G108" i="3"/>
  <c r="G118" i="3" s="1"/>
  <c r="H108" i="3"/>
  <c r="H118" i="3" s="1"/>
  <c r="I108" i="3"/>
  <c r="I118" i="3" s="1"/>
  <c r="J108" i="3"/>
  <c r="J118" i="3" s="1"/>
  <c r="K108" i="3"/>
  <c r="K118" i="3" s="1"/>
  <c r="L108" i="3"/>
  <c r="L118" i="3" s="1"/>
  <c r="M108" i="3"/>
  <c r="M118" i="3" s="1"/>
  <c r="N108" i="3"/>
  <c r="N118" i="3" s="1"/>
  <c r="O108" i="3"/>
  <c r="O118" i="3" s="1"/>
  <c r="D108" i="3"/>
  <c r="D118" i="3" s="1"/>
  <c r="C23" i="3" a="1"/>
  <c r="C23" i="3" s="1"/>
  <c r="C5" i="3" a="1"/>
  <c r="C5" i="3" s="1"/>
  <c r="C4" i="3" a="1"/>
  <c r="C4" i="3" s="1"/>
  <c r="D3" i="3" a="1"/>
  <c r="D3" i="3" s="1"/>
  <c r="D19" i="3" l="1" a="1"/>
  <c r="D19" i="3" s="1"/>
  <c r="D27" i="3" s="1" a="1"/>
  <c r="D27" i="3" s="1"/>
  <c r="D44" i="3" s="1" a="1"/>
  <c r="D44" i="3" s="1"/>
  <c r="C14" i="3" a="1"/>
  <c r="C7" i="3" a="1"/>
  <c r="O107" i="3" l="1"/>
  <c r="I107" i="3"/>
  <c r="J107" i="3"/>
  <c r="K107" i="3"/>
  <c r="M107" i="3"/>
  <c r="D107" i="3"/>
  <c r="L107" i="3"/>
  <c r="E107" i="3"/>
  <c r="F107" i="3"/>
  <c r="G107" i="3"/>
  <c r="H107" i="3"/>
  <c r="N107" i="3"/>
  <c r="D68" i="3" a="1"/>
  <c r="D68" i="3" s="1"/>
  <c r="D86" i="3" a="1"/>
  <c r="D86" i="3" s="1"/>
  <c r="C7" i="3"/>
  <c r="E53" i="3"/>
  <c r="F53" i="3"/>
  <c r="G53" i="3"/>
  <c r="H53" i="3"/>
  <c r="I53" i="3"/>
  <c r="J53" i="3"/>
  <c r="K53" i="3"/>
  <c r="L53" i="3"/>
  <c r="M53" i="3"/>
  <c r="N53" i="3"/>
  <c r="O53" i="3"/>
  <c r="D53" i="3"/>
  <c r="M18" i="3" a="1"/>
  <c r="M18" i="3" s="1"/>
  <c r="G18" i="3" a="1"/>
  <c r="G18" i="3" s="1"/>
  <c r="N18" i="3" a="1"/>
  <c r="N18" i="3" s="1"/>
  <c r="O18" i="3" a="1"/>
  <c r="O18" i="3" s="1"/>
  <c r="I18" i="3" a="1"/>
  <c r="I18" i="3" s="1"/>
  <c r="J18" i="3" a="1"/>
  <c r="J18" i="3" s="1"/>
  <c r="K18" i="3" a="1"/>
  <c r="K18" i="3" s="1"/>
  <c r="E18" i="3" a="1"/>
  <c r="E18" i="3" s="1"/>
  <c r="F18" i="3" a="1"/>
  <c r="F18" i="3" s="1"/>
  <c r="H18" i="3" a="1"/>
  <c r="H18" i="3" s="1"/>
  <c r="L18" i="3" a="1"/>
  <c r="L18" i="3" s="1"/>
  <c r="C14" i="3"/>
  <c r="D18" i="3" a="1"/>
  <c r="D18" i="3" s="1"/>
  <c r="D20" i="3" s="1"/>
  <c r="G109" i="3" l="1"/>
  <c r="G113" i="3"/>
  <c r="L113" i="3"/>
  <c r="L109" i="3"/>
  <c r="D113" i="3"/>
  <c r="D109" i="3"/>
  <c r="M113" i="3"/>
  <c r="M109" i="3"/>
  <c r="K113" i="3"/>
  <c r="K109" i="3"/>
  <c r="J113" i="3"/>
  <c r="J109" i="3"/>
  <c r="F109" i="3"/>
  <c r="F113" i="3"/>
  <c r="E113" i="3"/>
  <c r="E109" i="3"/>
  <c r="I109" i="3"/>
  <c r="I113" i="3"/>
  <c r="N113" i="3"/>
  <c r="N109" i="3"/>
  <c r="H113" i="3"/>
  <c r="H109" i="3"/>
  <c r="D102" i="3"/>
  <c r="O109" i="3"/>
  <c r="O113" i="3"/>
  <c r="E49" i="3"/>
  <c r="F50" i="3"/>
  <c r="G51" i="3"/>
  <c r="H52" i="3"/>
  <c r="F49" i="3"/>
  <c r="G50" i="3"/>
  <c r="H51" i="3"/>
  <c r="I52" i="3"/>
  <c r="H50" i="3"/>
  <c r="I51" i="3"/>
  <c r="J52" i="3"/>
  <c r="H49" i="3"/>
  <c r="I50" i="3"/>
  <c r="J51" i="3"/>
  <c r="K52" i="3"/>
  <c r="I49" i="3"/>
  <c r="J50" i="3"/>
  <c r="K51" i="3"/>
  <c r="L52" i="3"/>
  <c r="J49" i="3"/>
  <c r="K50" i="3"/>
  <c r="L51" i="3"/>
  <c r="M52" i="3"/>
  <c r="K49" i="3"/>
  <c r="L50" i="3"/>
  <c r="M51" i="3"/>
  <c r="N52" i="3"/>
  <c r="L49" i="3"/>
  <c r="M50" i="3"/>
  <c r="N51" i="3"/>
  <c r="O52" i="3"/>
  <c r="M49" i="3"/>
  <c r="N50" i="3"/>
  <c r="O51" i="3"/>
  <c r="D50" i="3"/>
  <c r="N49" i="3"/>
  <c r="O50" i="3"/>
  <c r="E52" i="3"/>
  <c r="D51" i="3"/>
  <c r="O49" i="3"/>
  <c r="F52" i="3"/>
  <c r="D52" i="3"/>
  <c r="F51" i="3"/>
  <c r="G52" i="3"/>
  <c r="D49" i="3"/>
  <c r="G49" i="3"/>
  <c r="E51" i="3"/>
  <c r="E50" i="3"/>
  <c r="E32" i="3" a="1"/>
  <c r="E32" i="3" s="1"/>
  <c r="K32" i="3" a="1"/>
  <c r="K32" i="3" s="1"/>
  <c r="F33" i="3" a="1"/>
  <c r="F33" i="3" s="1"/>
  <c r="L33" i="3" a="1"/>
  <c r="L33" i="3" s="1"/>
  <c r="G34" i="3" a="1"/>
  <c r="G34" i="3" s="1"/>
  <c r="M34" i="3" a="1"/>
  <c r="M34" i="3" s="1"/>
  <c r="H35" i="3" a="1"/>
  <c r="H35" i="3" s="1"/>
  <c r="N35" i="3" a="1"/>
  <c r="N35" i="3" s="1"/>
  <c r="I36" i="3" a="1"/>
  <c r="I36" i="3" s="1"/>
  <c r="O36" i="3" a="1"/>
  <c r="O36" i="3" s="1"/>
  <c r="D33" i="3" a="1"/>
  <c r="D33" i="3" s="1"/>
  <c r="D76" i="3" s="1" a="1"/>
  <c r="D76" i="3" s="1"/>
  <c r="L32" i="3" a="1"/>
  <c r="L32" i="3" s="1"/>
  <c r="G33" i="3" a="1"/>
  <c r="G33" i="3" s="1"/>
  <c r="M33" i="3" a="1"/>
  <c r="M33" i="3" s="1"/>
  <c r="H34" i="3" a="1"/>
  <c r="H34" i="3" s="1"/>
  <c r="N34" i="3" a="1"/>
  <c r="N34" i="3" s="1"/>
  <c r="I35" i="3" a="1"/>
  <c r="I35" i="3" s="1"/>
  <c r="J36" i="3" a="1"/>
  <c r="J36" i="3" s="1"/>
  <c r="G32" i="3" a="1"/>
  <c r="G32" i="3" s="1"/>
  <c r="M32" i="3" a="1"/>
  <c r="M32" i="3" s="1"/>
  <c r="N33" i="3" a="1"/>
  <c r="N33" i="3" s="1"/>
  <c r="I34" i="3" a="1"/>
  <c r="I34" i="3" s="1"/>
  <c r="O34" i="3" a="1"/>
  <c r="O34" i="3" s="1"/>
  <c r="J35" i="3" a="1"/>
  <c r="J35" i="3" s="1"/>
  <c r="E36" i="3" a="1"/>
  <c r="E36" i="3" s="1"/>
  <c r="K36" i="3" a="1"/>
  <c r="K36" i="3" s="1"/>
  <c r="D35" i="3" a="1"/>
  <c r="D35" i="3" s="1"/>
  <c r="N32" i="3" a="1"/>
  <c r="N32" i="3" s="1"/>
  <c r="O33" i="3" a="1"/>
  <c r="O33" i="3" s="1"/>
  <c r="J34" i="3" a="1"/>
  <c r="J34" i="3" s="1"/>
  <c r="E35" i="3" a="1"/>
  <c r="E35" i="3" s="1"/>
  <c r="F36" i="3" a="1"/>
  <c r="F36" i="3" s="1"/>
  <c r="D36" i="3" a="1"/>
  <c r="D36" i="3" s="1"/>
  <c r="O32" i="3" a="1"/>
  <c r="O32" i="3" s="1"/>
  <c r="E34" i="3" a="1"/>
  <c r="E34" i="3" s="1"/>
  <c r="F35" i="3" a="1"/>
  <c r="F35" i="3" s="1"/>
  <c r="G36" i="3" a="1"/>
  <c r="G36" i="3" s="1"/>
  <c r="E33" i="3" a="1"/>
  <c r="E33" i="3" s="1"/>
  <c r="K33" i="3" a="1"/>
  <c r="K33" i="3" s="1"/>
  <c r="L34" i="3" a="1"/>
  <c r="L34" i="3" s="1"/>
  <c r="G35" i="3" a="1"/>
  <c r="G35" i="3" s="1"/>
  <c r="H36" i="3" a="1"/>
  <c r="H36" i="3" s="1"/>
  <c r="D32" i="3" a="1"/>
  <c r="D32" i="3" s="1"/>
  <c r="F32" i="3" a="1"/>
  <c r="F32" i="3" s="1"/>
  <c r="O35" i="3" a="1"/>
  <c r="O35" i="3" s="1"/>
  <c r="D34" i="3" a="1"/>
  <c r="D34" i="3" s="1"/>
  <c r="H33" i="3" a="1"/>
  <c r="H33" i="3" s="1"/>
  <c r="H32" i="3" a="1"/>
  <c r="H32" i="3" s="1"/>
  <c r="I33" i="3" a="1"/>
  <c r="I33" i="3" s="1"/>
  <c r="K35" i="3" a="1"/>
  <c r="K35" i="3" s="1"/>
  <c r="L36" i="3" a="1"/>
  <c r="L36" i="3" s="1"/>
  <c r="I32" i="3" a="1"/>
  <c r="I32" i="3" s="1"/>
  <c r="J33" i="3" a="1"/>
  <c r="J33" i="3" s="1"/>
  <c r="K34" i="3" a="1"/>
  <c r="K34" i="3" s="1"/>
  <c r="L35" i="3" a="1"/>
  <c r="L35" i="3" s="1"/>
  <c r="M36" i="3" a="1"/>
  <c r="M36" i="3" s="1"/>
  <c r="D37" i="3" a="1"/>
  <c r="D37" i="3" s="1"/>
  <c r="J32" i="3" a="1"/>
  <c r="J32" i="3" s="1"/>
  <c r="F34" i="3" a="1"/>
  <c r="F34" i="3" s="1"/>
  <c r="M35" i="3" a="1"/>
  <c r="M35" i="3" s="1"/>
  <c r="N36" i="3" a="1"/>
  <c r="N36" i="3" s="1"/>
  <c r="D26" i="3" a="1"/>
  <c r="D26" i="3" s="1"/>
  <c r="D25" i="3" a="1"/>
  <c r="D25" i="3" s="1"/>
  <c r="D24" i="3" a="1"/>
  <c r="D24" i="3" s="1"/>
  <c r="D23" i="3" a="1"/>
  <c r="D23" i="3" s="1"/>
  <c r="D40" i="3" s="1" a="1"/>
  <c r="D40" i="3" s="1"/>
  <c r="H57" i="3" l="1" a="1"/>
  <c r="H57" i="3" s="1"/>
  <c r="H75" i="3" a="1"/>
  <c r="H75" i="3" s="1"/>
  <c r="J60" i="3" a="1"/>
  <c r="J60" i="3" s="1"/>
  <c r="J78" i="3" a="1"/>
  <c r="J78" i="3" s="1"/>
  <c r="F59" i="3" a="1"/>
  <c r="F59" i="3" s="1"/>
  <c r="F77" i="3" a="1"/>
  <c r="F77" i="3" s="1"/>
  <c r="H58" i="3" a="1"/>
  <c r="H58" i="3" s="1"/>
  <c r="H76" i="3" a="1"/>
  <c r="H76" i="3" s="1"/>
  <c r="E59" i="3" a="1"/>
  <c r="E59" i="3" s="1"/>
  <c r="E77" i="3" a="1"/>
  <c r="E77" i="3" s="1"/>
  <c r="O59" i="3" a="1"/>
  <c r="O59" i="3" s="1"/>
  <c r="O77" i="3" a="1"/>
  <c r="O77" i="3" s="1"/>
  <c r="D59" i="3" a="1"/>
  <c r="D59" i="3" s="1"/>
  <c r="D77" i="3" a="1"/>
  <c r="D77" i="3" s="1"/>
  <c r="I59" i="3" a="1"/>
  <c r="I59" i="3" s="1"/>
  <c r="I77" i="3" a="1"/>
  <c r="I77" i="3" s="1"/>
  <c r="O60" i="3" a="1"/>
  <c r="O60" i="3" s="1"/>
  <c r="O78" i="3" a="1"/>
  <c r="O78" i="3" s="1"/>
  <c r="N58" i="3" a="1"/>
  <c r="N58" i="3" s="1"/>
  <c r="N76" i="3" a="1"/>
  <c r="N76" i="3" s="1"/>
  <c r="F57" i="3" a="1"/>
  <c r="F57" i="3" s="1"/>
  <c r="F75" i="3" a="1"/>
  <c r="F75" i="3" s="1"/>
  <c r="G57" i="3" a="1"/>
  <c r="G57" i="3" s="1"/>
  <c r="G75" i="3" a="1"/>
  <c r="G75" i="3" s="1"/>
  <c r="H61" i="3" a="1"/>
  <c r="H61" i="3" s="1"/>
  <c r="H79" i="3" a="1"/>
  <c r="H79" i="3" s="1"/>
  <c r="D64" i="3" a="1"/>
  <c r="D64" i="3" s="1"/>
  <c r="D82" i="3" a="1"/>
  <c r="D82" i="3" s="1"/>
  <c r="J58" i="3" a="1"/>
  <c r="J58" i="3" s="1"/>
  <c r="J76" i="3" a="1"/>
  <c r="J76" i="3" s="1"/>
  <c r="I60" i="3" a="1"/>
  <c r="I60" i="3" s="1"/>
  <c r="I78" i="3" a="1"/>
  <c r="I78" i="3" s="1"/>
  <c r="L59" i="3" a="1"/>
  <c r="L59" i="3" s="1"/>
  <c r="L77" i="3" a="1"/>
  <c r="L77" i="3" s="1"/>
  <c r="N59" i="3" a="1"/>
  <c r="N59" i="3" s="1"/>
  <c r="N77" i="3" a="1"/>
  <c r="N77" i="3" s="1"/>
  <c r="L61" i="3" a="1"/>
  <c r="L61" i="3" s="1"/>
  <c r="L79" i="3" a="1"/>
  <c r="L79" i="3" s="1"/>
  <c r="D60" i="3" a="1"/>
  <c r="D60" i="3" s="1"/>
  <c r="D78" i="3" a="1"/>
  <c r="D78" i="3" s="1"/>
  <c r="H59" i="3" a="1"/>
  <c r="H59" i="3" s="1"/>
  <c r="H77" i="3" a="1"/>
  <c r="H77" i="3" s="1"/>
  <c r="F58" i="3" a="1"/>
  <c r="F58" i="3" s="1"/>
  <c r="F76" i="3" a="1"/>
  <c r="F76" i="3" s="1"/>
  <c r="K60" i="3" a="1"/>
  <c r="K60" i="3" s="1"/>
  <c r="K78" i="3" a="1"/>
  <c r="K78" i="3" s="1"/>
  <c r="E58" i="3" a="1"/>
  <c r="E58" i="3" s="1"/>
  <c r="E76" i="3" a="1"/>
  <c r="E76" i="3" s="1"/>
  <c r="K61" i="3" a="1"/>
  <c r="K61" i="3" s="1"/>
  <c r="K79" i="3" a="1"/>
  <c r="K79" i="3" s="1"/>
  <c r="M58" i="3" a="1"/>
  <c r="M58" i="3" s="1"/>
  <c r="M76" i="3" a="1"/>
  <c r="M76" i="3" s="1"/>
  <c r="K57" i="3" a="1"/>
  <c r="K57" i="3" s="1"/>
  <c r="K75" i="3" a="1"/>
  <c r="K75" i="3" s="1"/>
  <c r="M60" i="3" a="1"/>
  <c r="M60" i="3" s="1"/>
  <c r="M78" i="3" a="1"/>
  <c r="M78" i="3" s="1"/>
  <c r="F60" i="3" a="1"/>
  <c r="F60" i="3" s="1"/>
  <c r="F78" i="3" a="1"/>
  <c r="F78" i="3" s="1"/>
  <c r="L57" i="3" a="1"/>
  <c r="L57" i="3" s="1"/>
  <c r="L75" i="3" a="1"/>
  <c r="L75" i="3" s="1"/>
  <c r="J57" i="3" a="1"/>
  <c r="J57" i="3" s="1"/>
  <c r="J75" i="3" a="1"/>
  <c r="J75" i="3" s="1"/>
  <c r="O57" i="3" a="1"/>
  <c r="O57" i="3" s="1"/>
  <c r="O75" i="3" a="1"/>
  <c r="O75" i="3" s="1"/>
  <c r="O61" i="3" a="1"/>
  <c r="O61" i="3" s="1"/>
  <c r="O79" i="3" a="1"/>
  <c r="O79" i="3" s="1"/>
  <c r="D62" i="3" a="1"/>
  <c r="D62" i="3" s="1"/>
  <c r="D80" i="3" a="1"/>
  <c r="D80" i="3" s="1"/>
  <c r="D61" i="3" a="1"/>
  <c r="D61" i="3" s="1"/>
  <c r="D79" i="3" a="1"/>
  <c r="D79" i="3" s="1"/>
  <c r="I61" i="3" a="1"/>
  <c r="I61" i="3" s="1"/>
  <c r="I79" i="3" a="1"/>
  <c r="I79" i="3" s="1"/>
  <c r="M61" i="3" a="1"/>
  <c r="M61" i="3" s="1"/>
  <c r="M79" i="3" a="1"/>
  <c r="M79" i="3" s="1"/>
  <c r="F61" i="3" a="1"/>
  <c r="F61" i="3" s="1"/>
  <c r="F79" i="3" a="1"/>
  <c r="F79" i="3" s="1"/>
  <c r="M57" i="3" a="1"/>
  <c r="M57" i="3" s="1"/>
  <c r="M75" i="3" a="1"/>
  <c r="M75" i="3" s="1"/>
  <c r="N60" i="3" a="1"/>
  <c r="N60" i="3" s="1"/>
  <c r="N78" i="3" a="1"/>
  <c r="N78" i="3" s="1"/>
  <c r="L60" i="3" a="1"/>
  <c r="L60" i="3" s="1"/>
  <c r="L78" i="3" a="1"/>
  <c r="L78" i="3" s="1"/>
  <c r="E60" i="3" a="1"/>
  <c r="E60" i="3" s="1"/>
  <c r="E78" i="3" a="1"/>
  <c r="E78" i="3" s="1"/>
  <c r="H60" i="3" a="1"/>
  <c r="H60" i="3" s="1"/>
  <c r="H78" i="3" a="1"/>
  <c r="H78" i="3" s="1"/>
  <c r="K59" i="3" a="1"/>
  <c r="K59" i="3" s="1"/>
  <c r="K77" i="3" a="1"/>
  <c r="K77" i="3" s="1"/>
  <c r="J59" i="3" a="1"/>
  <c r="J59" i="3" s="1"/>
  <c r="J77" i="3" a="1"/>
  <c r="J77" i="3" s="1"/>
  <c r="J61" i="3" a="1"/>
  <c r="J61" i="3" s="1"/>
  <c r="J79" i="3" a="1"/>
  <c r="J79" i="3" s="1"/>
  <c r="M59" i="3" a="1"/>
  <c r="M59" i="3" s="1"/>
  <c r="M77" i="3" a="1"/>
  <c r="M77" i="3" s="1"/>
  <c r="G60" i="3" a="1"/>
  <c r="G60" i="3" s="1"/>
  <c r="G78" i="3" a="1"/>
  <c r="G78" i="3" s="1"/>
  <c r="O58" i="3" a="1"/>
  <c r="O58" i="3" s="1"/>
  <c r="O76" i="3" a="1"/>
  <c r="O76" i="3" s="1"/>
  <c r="G59" i="3" a="1"/>
  <c r="G59" i="3" s="1"/>
  <c r="G77" i="3" a="1"/>
  <c r="G77" i="3" s="1"/>
  <c r="I57" i="3" a="1"/>
  <c r="I57" i="3" s="1"/>
  <c r="I75" i="3" a="1"/>
  <c r="I75" i="3" s="1"/>
  <c r="N57" i="3" a="1"/>
  <c r="N57" i="3" s="1"/>
  <c r="N75" i="3" a="1"/>
  <c r="N75" i="3" s="1"/>
  <c r="L58" i="3" a="1"/>
  <c r="L58" i="3" s="1"/>
  <c r="L76" i="3" a="1"/>
  <c r="L76" i="3" s="1"/>
  <c r="K58" i="3" a="1"/>
  <c r="K58" i="3" s="1"/>
  <c r="K76" i="3" a="1"/>
  <c r="K76" i="3" s="1"/>
  <c r="N61" i="3" a="1"/>
  <c r="N61" i="3" s="1"/>
  <c r="N79" i="3" a="1"/>
  <c r="N79" i="3" s="1"/>
  <c r="I58" i="3" a="1"/>
  <c r="I58" i="3" s="1"/>
  <c r="I76" i="3" a="1"/>
  <c r="I76" i="3" s="1"/>
  <c r="G61" i="3" a="1"/>
  <c r="G61" i="3" s="1"/>
  <c r="G79" i="3" a="1"/>
  <c r="G79" i="3" s="1"/>
  <c r="E61" i="3" a="1"/>
  <c r="E61" i="3" s="1"/>
  <c r="E79" i="3" a="1"/>
  <c r="E79" i="3" s="1"/>
  <c r="G58" i="3" a="1"/>
  <c r="G58" i="3" s="1"/>
  <c r="G76" i="3" a="1"/>
  <c r="G76" i="3" s="1"/>
  <c r="E57" i="3" a="1"/>
  <c r="E57" i="3" s="1"/>
  <c r="E75" i="3" a="1"/>
  <c r="E75" i="3" s="1"/>
  <c r="D57" i="3" a="1"/>
  <c r="D57" i="3" s="1"/>
  <c r="D58" i="3" a="1"/>
  <c r="D58" i="3" s="1"/>
  <c r="D92" i="3" s="1"/>
  <c r="E24" i="3" a="1"/>
  <c r="E24" i="3" s="1"/>
  <c r="D41" i="3" a="1"/>
  <c r="D41" i="3" s="1"/>
  <c r="E25" i="3" a="1"/>
  <c r="E25" i="3" s="1"/>
  <c r="D42" i="3" a="1"/>
  <c r="D42" i="3" s="1"/>
  <c r="E26" i="3" a="1"/>
  <c r="E26" i="3" s="1"/>
  <c r="D43" i="3" a="1"/>
  <c r="D43" i="3" s="1"/>
  <c r="D38" i="3"/>
  <c r="E23" i="3" a="1"/>
  <c r="E23" i="3" s="1"/>
  <c r="E40" i="3" s="1" a="1"/>
  <c r="E40" i="3" s="1"/>
  <c r="D28" i="3"/>
  <c r="E19" i="3" a="1"/>
  <c r="E19" i="3" s="1"/>
  <c r="E37" i="3" s="1" a="1"/>
  <c r="E37" i="3" s="1"/>
  <c r="N95" i="3" l="1"/>
  <c r="K95" i="3"/>
  <c r="K92" i="3"/>
  <c r="I95" i="3"/>
  <c r="N93" i="3"/>
  <c r="G91" i="3"/>
  <c r="M93" i="3"/>
  <c r="F94" i="3"/>
  <c r="E93" i="3"/>
  <c r="J95" i="3"/>
  <c r="M94" i="3"/>
  <c r="N92" i="3"/>
  <c r="J93" i="3"/>
  <c r="J92" i="3"/>
  <c r="G93" i="3"/>
  <c r="K93" i="3"/>
  <c r="F95" i="3"/>
  <c r="O91" i="3"/>
  <c r="M92" i="3"/>
  <c r="D94" i="3"/>
  <c r="D98" i="3"/>
  <c r="I93" i="3"/>
  <c r="J94" i="3"/>
  <c r="E91" i="3"/>
  <c r="E94" i="3"/>
  <c r="L91" i="3"/>
  <c r="L92" i="3"/>
  <c r="D95" i="3"/>
  <c r="L93" i="3"/>
  <c r="E95" i="3"/>
  <c r="N94" i="3"/>
  <c r="F92" i="3"/>
  <c r="H92" i="3"/>
  <c r="I91" i="3"/>
  <c r="M91" i="3"/>
  <c r="H93" i="3"/>
  <c r="F93" i="3"/>
  <c r="I92" i="3"/>
  <c r="G94" i="3"/>
  <c r="E92" i="3"/>
  <c r="O93" i="3"/>
  <c r="G92" i="3"/>
  <c r="L94" i="3"/>
  <c r="K94" i="3"/>
  <c r="F91" i="3"/>
  <c r="N91" i="3"/>
  <c r="D96" i="3"/>
  <c r="I94" i="3"/>
  <c r="G95" i="3"/>
  <c r="O95" i="3"/>
  <c r="K91" i="3"/>
  <c r="O94" i="3"/>
  <c r="D91" i="3"/>
  <c r="O92" i="3"/>
  <c r="H94" i="3"/>
  <c r="M95" i="3"/>
  <c r="J91" i="3"/>
  <c r="L95" i="3"/>
  <c r="H95" i="3"/>
  <c r="D93" i="3"/>
  <c r="H91" i="3"/>
  <c r="D67" i="3" a="1"/>
  <c r="D67" i="3" s="1"/>
  <c r="D85" i="3" a="1"/>
  <c r="D85" i="3" s="1"/>
  <c r="D65" i="3" a="1"/>
  <c r="D65" i="3" s="1"/>
  <c r="D83" i="3" a="1"/>
  <c r="D83" i="3" s="1"/>
  <c r="E64" i="3" a="1"/>
  <c r="E64" i="3" s="1"/>
  <c r="E82" i="3" a="1"/>
  <c r="E82" i="3" s="1"/>
  <c r="D66" i="3" a="1"/>
  <c r="D66" i="3" s="1"/>
  <c r="D84" i="3" a="1"/>
  <c r="D84" i="3" s="1"/>
  <c r="E62" i="3" a="1"/>
  <c r="E62" i="3" s="1"/>
  <c r="E80" i="3" a="1"/>
  <c r="E80" i="3" s="1"/>
  <c r="E38" i="3"/>
  <c r="D45" i="3"/>
  <c r="D46" i="3"/>
  <c r="F26" i="3" a="1"/>
  <c r="F26" i="3" s="1"/>
  <c r="E43" i="3" a="1"/>
  <c r="E43" i="3" s="1"/>
  <c r="F25" i="3" a="1"/>
  <c r="F25" i="3" s="1"/>
  <c r="E42" i="3" a="1"/>
  <c r="E42" i="3" s="1"/>
  <c r="F24" i="3" a="1"/>
  <c r="F24" i="3" s="1"/>
  <c r="E41" i="3" a="1"/>
  <c r="E41" i="3" s="1"/>
  <c r="F23" i="3" a="1"/>
  <c r="F23" i="3" s="1"/>
  <c r="F40" i="3" s="1" a="1"/>
  <c r="F40" i="3" s="1"/>
  <c r="E27" i="3" a="1"/>
  <c r="E27" i="3" s="1"/>
  <c r="E20" i="3"/>
  <c r="D101" i="3" l="1"/>
  <c r="E96" i="3"/>
  <c r="E98" i="3"/>
  <c r="D99" i="3"/>
  <c r="D69" i="3"/>
  <c r="D70" i="3" s="1"/>
  <c r="D71" i="3" s="1"/>
  <c r="D100" i="3"/>
  <c r="D87" i="3"/>
  <c r="E65" i="3" a="1"/>
  <c r="E65" i="3" s="1"/>
  <c r="E83" i="3" a="1"/>
  <c r="E83" i="3" s="1"/>
  <c r="F64" i="3" a="1"/>
  <c r="F64" i="3" s="1"/>
  <c r="F82" i="3" a="1"/>
  <c r="F82" i="3" s="1"/>
  <c r="E66" i="3" a="1"/>
  <c r="E66" i="3" s="1"/>
  <c r="E100" i="3" s="1"/>
  <c r="E84" i="3" a="1"/>
  <c r="E84" i="3" s="1"/>
  <c r="E67" i="3" a="1"/>
  <c r="E67" i="3" s="1"/>
  <c r="E85" i="3" a="1"/>
  <c r="E85" i="3" s="1"/>
  <c r="G24" i="3" a="1"/>
  <c r="G24" i="3" s="1"/>
  <c r="F41" i="3" a="1"/>
  <c r="F41" i="3" s="1"/>
  <c r="G25" i="3" a="1"/>
  <c r="G25" i="3" s="1"/>
  <c r="F42" i="3" a="1"/>
  <c r="F42" i="3" s="1"/>
  <c r="F19" i="3" a="1"/>
  <c r="F19" i="3" s="1"/>
  <c r="F37" i="3" s="1" a="1"/>
  <c r="F37" i="3" s="1"/>
  <c r="E44" i="3" a="1"/>
  <c r="E44" i="3" s="1"/>
  <c r="G26" i="3" a="1"/>
  <c r="G26" i="3" s="1"/>
  <c r="F43" i="3" a="1"/>
  <c r="F43" i="3" s="1"/>
  <c r="E28" i="3"/>
  <c r="G23" i="3" a="1"/>
  <c r="G23" i="3" s="1"/>
  <c r="G40" i="3" s="1" a="1"/>
  <c r="G40" i="3" s="1"/>
  <c r="D103" i="3" l="1"/>
  <c r="D112" i="3" s="1"/>
  <c r="D114" i="3" s="1"/>
  <c r="D117" i="3" s="1"/>
  <c r="D119" i="3" s="1"/>
  <c r="F98" i="3"/>
  <c r="E101" i="3"/>
  <c r="E99" i="3"/>
  <c r="G64" i="3" a="1"/>
  <c r="G64" i="3" s="1"/>
  <c r="G82" i="3" a="1"/>
  <c r="G82" i="3" s="1"/>
  <c r="F65" i="3" a="1"/>
  <c r="F65" i="3" s="1"/>
  <c r="F83" i="3" a="1"/>
  <c r="F83" i="3" s="1"/>
  <c r="F67" i="3" a="1"/>
  <c r="F67" i="3" s="1"/>
  <c r="F85" i="3" a="1"/>
  <c r="F85" i="3" s="1"/>
  <c r="E68" i="3" a="1"/>
  <c r="E68" i="3" s="1"/>
  <c r="E86" i="3" a="1"/>
  <c r="E86" i="3" s="1"/>
  <c r="E87" i="3" s="1"/>
  <c r="F62" i="3" a="1"/>
  <c r="F62" i="3" s="1"/>
  <c r="F80" i="3" a="1"/>
  <c r="F80" i="3" s="1"/>
  <c r="F66" i="3" a="1"/>
  <c r="F66" i="3" s="1"/>
  <c r="F84" i="3" a="1"/>
  <c r="F84" i="3" s="1"/>
  <c r="E45" i="3"/>
  <c r="E46" i="3" s="1"/>
  <c r="F38" i="3"/>
  <c r="F20" i="3"/>
  <c r="H26" i="3" a="1"/>
  <c r="H26" i="3" s="1"/>
  <c r="G43" i="3" a="1"/>
  <c r="G43" i="3" s="1"/>
  <c r="H25" i="3" a="1"/>
  <c r="H25" i="3" s="1"/>
  <c r="G42" i="3" a="1"/>
  <c r="G42" i="3" s="1"/>
  <c r="H24" i="3" a="1"/>
  <c r="H24" i="3" s="1"/>
  <c r="G41" i="3" a="1"/>
  <c r="G41" i="3" s="1"/>
  <c r="F27" i="3" a="1"/>
  <c r="F27" i="3" s="1"/>
  <c r="F28" i="3" s="1"/>
  <c r="H23" i="3" a="1"/>
  <c r="H23" i="3" s="1"/>
  <c r="H40" i="3" s="1" a="1"/>
  <c r="H40" i="3" s="1"/>
  <c r="G98" i="3" l="1"/>
  <c r="F100" i="3"/>
  <c r="E102" i="3"/>
  <c r="F101" i="3"/>
  <c r="F99" i="3"/>
  <c r="E103" i="3"/>
  <c r="E112" i="3" s="1"/>
  <c r="E114" i="3" s="1"/>
  <c r="E117" i="3" s="1"/>
  <c r="E119" i="3" s="1"/>
  <c r="F96" i="3"/>
  <c r="E69" i="3"/>
  <c r="E70" i="3" s="1"/>
  <c r="E71" i="3" s="1"/>
  <c r="G67" i="3" a="1"/>
  <c r="G67" i="3" s="1"/>
  <c r="G85" i="3" a="1"/>
  <c r="G85" i="3" s="1"/>
  <c r="G65" i="3" a="1"/>
  <c r="G65" i="3" s="1"/>
  <c r="G83" i="3" a="1"/>
  <c r="G83" i="3" s="1"/>
  <c r="G66" i="3" a="1"/>
  <c r="G66" i="3" s="1"/>
  <c r="G84" i="3" a="1"/>
  <c r="G84" i="3" s="1"/>
  <c r="H64" i="3" a="1"/>
  <c r="H64" i="3" s="1"/>
  <c r="H82" i="3" a="1"/>
  <c r="H82" i="3" s="1"/>
  <c r="I25" i="3" a="1"/>
  <c r="I25" i="3" s="1"/>
  <c r="H42" i="3" a="1"/>
  <c r="H42" i="3" s="1"/>
  <c r="I26" i="3" a="1"/>
  <c r="I26" i="3" s="1"/>
  <c r="H43" i="3" a="1"/>
  <c r="H43" i="3" s="1"/>
  <c r="G19" i="3" a="1"/>
  <c r="G19" i="3" s="1"/>
  <c r="F44" i="3" a="1"/>
  <c r="F44" i="3" s="1"/>
  <c r="I24" i="3" a="1"/>
  <c r="I24" i="3" s="1"/>
  <c r="H41" i="3" a="1"/>
  <c r="H41" i="3" s="1"/>
  <c r="I23" i="3" a="1"/>
  <c r="I23" i="3" s="1"/>
  <c r="I40" i="3" s="1" a="1"/>
  <c r="I40" i="3" s="1"/>
  <c r="G99" i="3" l="1"/>
  <c r="G101" i="3"/>
  <c r="H98" i="3"/>
  <c r="G100" i="3"/>
  <c r="H66" i="3" a="1"/>
  <c r="H66" i="3" s="1"/>
  <c r="H84" i="3" a="1"/>
  <c r="H84" i="3" s="1"/>
  <c r="I64" i="3" a="1"/>
  <c r="I64" i="3" s="1"/>
  <c r="I82" i="3" a="1"/>
  <c r="I82" i="3" s="1"/>
  <c r="H65" i="3" a="1"/>
  <c r="H65" i="3" s="1"/>
  <c r="H83" i="3" a="1"/>
  <c r="H83" i="3" s="1"/>
  <c r="F68" i="3" a="1"/>
  <c r="F68" i="3" s="1"/>
  <c r="F86" i="3" a="1"/>
  <c r="F86" i="3" s="1"/>
  <c r="F87" i="3" s="1"/>
  <c r="H67" i="3" a="1"/>
  <c r="H67" i="3" s="1"/>
  <c r="H85" i="3" a="1"/>
  <c r="H85" i="3" s="1"/>
  <c r="F45" i="3"/>
  <c r="F46" i="3" s="1"/>
  <c r="G37" i="3" a="1"/>
  <c r="G37" i="3" s="1"/>
  <c r="G27" i="3" a="1"/>
  <c r="G27" i="3" s="1"/>
  <c r="G20" i="3"/>
  <c r="J26" i="3" a="1"/>
  <c r="J26" i="3" s="1"/>
  <c r="I43" i="3" a="1"/>
  <c r="I43" i="3" s="1"/>
  <c r="J25" i="3" a="1"/>
  <c r="J25" i="3" s="1"/>
  <c r="I42" i="3" a="1"/>
  <c r="I42" i="3" s="1"/>
  <c r="J24" i="3" a="1"/>
  <c r="J24" i="3" s="1"/>
  <c r="I41" i="3" a="1"/>
  <c r="I41" i="3" s="1"/>
  <c r="J23" i="3" a="1"/>
  <c r="J23" i="3" s="1"/>
  <c r="J40" i="3" s="1" a="1"/>
  <c r="J40" i="3" s="1"/>
  <c r="H99" i="3" l="1"/>
  <c r="H100" i="3"/>
  <c r="F102" i="3"/>
  <c r="F103" i="3" s="1"/>
  <c r="F112" i="3" s="1"/>
  <c r="F114" i="3" s="1"/>
  <c r="F117" i="3" s="1"/>
  <c r="F119" i="3" s="1"/>
  <c r="F69" i="3"/>
  <c r="I98" i="3"/>
  <c r="H101" i="3"/>
  <c r="J64" i="3" a="1"/>
  <c r="J64" i="3" s="1"/>
  <c r="J82" i="3" a="1"/>
  <c r="J82" i="3" s="1"/>
  <c r="I65" i="3" a="1"/>
  <c r="I65" i="3" s="1"/>
  <c r="I83" i="3" a="1"/>
  <c r="I83" i="3" s="1"/>
  <c r="I66" i="3" a="1"/>
  <c r="I66" i="3" s="1"/>
  <c r="I84" i="3" a="1"/>
  <c r="I84" i="3" s="1"/>
  <c r="I67" i="3" a="1"/>
  <c r="I67" i="3" s="1"/>
  <c r="I85" i="3" a="1"/>
  <c r="I85" i="3" s="1"/>
  <c r="G62" i="3" a="1"/>
  <c r="G62" i="3" s="1"/>
  <c r="G80" i="3" a="1"/>
  <c r="G80" i="3" s="1"/>
  <c r="F70" i="3"/>
  <c r="F71" i="3" s="1"/>
  <c r="G38" i="3"/>
  <c r="K25" i="3" a="1"/>
  <c r="K25" i="3" s="1"/>
  <c r="J42" i="3" a="1"/>
  <c r="J42" i="3" s="1"/>
  <c r="K26" i="3" a="1"/>
  <c r="K26" i="3" s="1"/>
  <c r="J43" i="3" a="1"/>
  <c r="J43" i="3" s="1"/>
  <c r="K24" i="3" a="1"/>
  <c r="K24" i="3" s="1"/>
  <c r="J41" i="3" a="1"/>
  <c r="J41" i="3" s="1"/>
  <c r="H19" i="3" a="1"/>
  <c r="H19" i="3" s="1"/>
  <c r="G44" i="3" a="1"/>
  <c r="G44" i="3" s="1"/>
  <c r="G28" i="3"/>
  <c r="K23" i="3" a="1"/>
  <c r="K23" i="3" s="1"/>
  <c r="K40" i="3" s="1" a="1"/>
  <c r="K40" i="3" s="1"/>
  <c r="I100" i="3" l="1"/>
  <c r="G96" i="3"/>
  <c r="I99" i="3"/>
  <c r="J98" i="3"/>
  <c r="I101" i="3"/>
  <c r="K64" i="3" a="1"/>
  <c r="K64" i="3" s="1"/>
  <c r="K82" i="3" a="1"/>
  <c r="K82" i="3" s="1"/>
  <c r="G68" i="3" a="1"/>
  <c r="G68" i="3" s="1"/>
  <c r="G86" i="3" a="1"/>
  <c r="G86" i="3" s="1"/>
  <c r="G87" i="3" s="1"/>
  <c r="J65" i="3" a="1"/>
  <c r="J65" i="3" s="1"/>
  <c r="J83" i="3" a="1"/>
  <c r="J83" i="3" s="1"/>
  <c r="J67" i="3" a="1"/>
  <c r="J67" i="3" s="1"/>
  <c r="J85" i="3" a="1"/>
  <c r="J85" i="3" s="1"/>
  <c r="J66" i="3" a="1"/>
  <c r="J66" i="3" s="1"/>
  <c r="J84" i="3" a="1"/>
  <c r="J84" i="3" s="1"/>
  <c r="G45" i="3"/>
  <c r="G46" i="3" s="1"/>
  <c r="L25" i="3" a="1"/>
  <c r="L25" i="3" s="1"/>
  <c r="K42" i="3" a="1"/>
  <c r="K42" i="3" s="1"/>
  <c r="H37" i="3" a="1"/>
  <c r="H37" i="3" s="1"/>
  <c r="H27" i="3" a="1"/>
  <c r="H27" i="3" s="1"/>
  <c r="H20" i="3"/>
  <c r="L24" i="3" a="1"/>
  <c r="L24" i="3" s="1"/>
  <c r="K41" i="3" a="1"/>
  <c r="K41" i="3" s="1"/>
  <c r="L26" i="3" a="1"/>
  <c r="L26" i="3" s="1"/>
  <c r="K43" i="3" a="1"/>
  <c r="K43" i="3" s="1"/>
  <c r="L23" i="3" a="1"/>
  <c r="L23" i="3" s="1"/>
  <c r="L40" i="3" s="1" a="1"/>
  <c r="L40" i="3" s="1"/>
  <c r="J99" i="3" l="1"/>
  <c r="G102" i="3"/>
  <c r="G103" i="3" s="1"/>
  <c r="G112" i="3" s="1"/>
  <c r="G114" i="3" s="1"/>
  <c r="G117" i="3" s="1"/>
  <c r="G119" i="3" s="1"/>
  <c r="J100" i="3"/>
  <c r="K98" i="3"/>
  <c r="G69" i="3"/>
  <c r="J101" i="3"/>
  <c r="L64" i="3" a="1"/>
  <c r="L64" i="3" s="1"/>
  <c r="L82" i="3" a="1"/>
  <c r="L82" i="3" s="1"/>
  <c r="K67" i="3" a="1"/>
  <c r="K67" i="3" s="1"/>
  <c r="K85" i="3" a="1"/>
  <c r="K85" i="3" s="1"/>
  <c r="K65" i="3" a="1"/>
  <c r="K65" i="3" s="1"/>
  <c r="K83" i="3" a="1"/>
  <c r="K83" i="3" s="1"/>
  <c r="K66" i="3" a="1"/>
  <c r="K66" i="3" s="1"/>
  <c r="K84" i="3" a="1"/>
  <c r="K84" i="3" s="1"/>
  <c r="H62" i="3" a="1"/>
  <c r="H62" i="3" s="1"/>
  <c r="H80" i="3" a="1"/>
  <c r="H80" i="3" s="1"/>
  <c r="G70" i="3"/>
  <c r="G71" i="3" s="1"/>
  <c r="H38" i="3"/>
  <c r="M26" i="3" a="1"/>
  <c r="M26" i="3" s="1"/>
  <c r="L43" i="3" a="1"/>
  <c r="L43" i="3" s="1"/>
  <c r="I19" i="3" a="1"/>
  <c r="I19" i="3" s="1"/>
  <c r="H44" i="3" a="1"/>
  <c r="H44" i="3" s="1"/>
  <c r="H28" i="3"/>
  <c r="M25" i="3" a="1"/>
  <c r="M25" i="3" s="1"/>
  <c r="L42" i="3" a="1"/>
  <c r="L42" i="3" s="1"/>
  <c r="M24" i="3" a="1"/>
  <c r="M24" i="3" s="1"/>
  <c r="L41" i="3" a="1"/>
  <c r="L41" i="3" s="1"/>
  <c r="M23" i="3" a="1"/>
  <c r="M23" i="3" s="1"/>
  <c r="M40" i="3" s="1" a="1"/>
  <c r="M40" i="3" s="1"/>
  <c r="K99" i="3" l="1"/>
  <c r="K100" i="3"/>
  <c r="K101" i="3"/>
  <c r="L98" i="3"/>
  <c r="H96" i="3"/>
  <c r="H68" i="3" a="1"/>
  <c r="H68" i="3" s="1"/>
  <c r="H86" i="3" a="1"/>
  <c r="H86" i="3" s="1"/>
  <c r="H87" i="3" s="1"/>
  <c r="L67" i="3" a="1"/>
  <c r="L67" i="3" s="1"/>
  <c r="L85" i="3" a="1"/>
  <c r="L85" i="3" s="1"/>
  <c r="M64" i="3" a="1"/>
  <c r="M64" i="3" s="1"/>
  <c r="M82" i="3" a="1"/>
  <c r="M82" i="3" s="1"/>
  <c r="L65" i="3" a="1"/>
  <c r="L65" i="3" s="1"/>
  <c r="L83" i="3" a="1"/>
  <c r="L83" i="3" s="1"/>
  <c r="L66" i="3" a="1"/>
  <c r="L66" i="3" s="1"/>
  <c r="L84" i="3" a="1"/>
  <c r="L84" i="3" s="1"/>
  <c r="H45" i="3"/>
  <c r="H46" i="3" s="1"/>
  <c r="N24" i="3" a="1"/>
  <c r="N24" i="3" s="1"/>
  <c r="M41" i="3" a="1"/>
  <c r="M41" i="3" s="1"/>
  <c r="I37" i="3" a="1"/>
  <c r="I37" i="3" s="1"/>
  <c r="I20" i="3"/>
  <c r="I27" i="3" a="1"/>
  <c r="I27" i="3" s="1"/>
  <c r="N26" i="3" a="1"/>
  <c r="N26" i="3" s="1"/>
  <c r="M43" i="3" a="1"/>
  <c r="M43" i="3" s="1"/>
  <c r="N25" i="3" a="1"/>
  <c r="N25" i="3" s="1"/>
  <c r="M42" i="3" a="1"/>
  <c r="M42" i="3" s="1"/>
  <c r="N23" i="3" a="1"/>
  <c r="N23" i="3" s="1"/>
  <c r="N40" i="3" s="1" a="1"/>
  <c r="N40" i="3" s="1"/>
  <c r="M98" i="3" l="1"/>
  <c r="H102" i="3"/>
  <c r="H103" i="3"/>
  <c r="H112" i="3" s="1"/>
  <c r="H114" i="3" s="1"/>
  <c r="H117" i="3" s="1"/>
  <c r="H119" i="3" s="1"/>
  <c r="L101" i="3"/>
  <c r="H69" i="3"/>
  <c r="L99" i="3"/>
  <c r="L100" i="3"/>
  <c r="N64" i="3" a="1"/>
  <c r="N64" i="3" s="1"/>
  <c r="N82" i="3" a="1"/>
  <c r="N82" i="3" s="1"/>
  <c r="M66" i="3" a="1"/>
  <c r="M66" i="3" s="1"/>
  <c r="M84" i="3" a="1"/>
  <c r="M84" i="3" s="1"/>
  <c r="I62" i="3" a="1"/>
  <c r="I62" i="3" s="1"/>
  <c r="I80" i="3" a="1"/>
  <c r="I80" i="3" s="1"/>
  <c r="M65" i="3" a="1"/>
  <c r="M65" i="3" s="1"/>
  <c r="M83" i="3" a="1"/>
  <c r="M83" i="3" s="1"/>
  <c r="M67" i="3" a="1"/>
  <c r="M67" i="3" s="1"/>
  <c r="M85" i="3" a="1"/>
  <c r="M85" i="3" s="1"/>
  <c r="H70" i="3"/>
  <c r="H71" i="3" s="1"/>
  <c r="I38" i="3"/>
  <c r="O25" i="3" a="1"/>
  <c r="O25" i="3" s="1"/>
  <c r="O42" i="3" s="1" a="1"/>
  <c r="O42" i="3" s="1"/>
  <c r="N42" i="3" a="1"/>
  <c r="N42" i="3" s="1"/>
  <c r="O26" i="3" a="1"/>
  <c r="O26" i="3" s="1"/>
  <c r="O43" i="3" s="1" a="1"/>
  <c r="O43" i="3" s="1"/>
  <c r="N43" i="3" a="1"/>
  <c r="N43" i="3" s="1"/>
  <c r="J19" i="3" a="1"/>
  <c r="J19" i="3" s="1"/>
  <c r="I44" i="3" a="1"/>
  <c r="I44" i="3" s="1"/>
  <c r="I28" i="3"/>
  <c r="O24" i="3" a="1"/>
  <c r="O24" i="3" s="1"/>
  <c r="O41" i="3" s="1" a="1"/>
  <c r="O41" i="3" s="1"/>
  <c r="N41" i="3" a="1"/>
  <c r="N41" i="3" s="1"/>
  <c r="O23" i="3" a="1"/>
  <c r="O23" i="3" s="1"/>
  <c r="O40" i="3" s="1" a="1"/>
  <c r="O40" i="3" s="1"/>
  <c r="I96" i="3" l="1"/>
  <c r="M100" i="3"/>
  <c r="M99" i="3"/>
  <c r="N98" i="3"/>
  <c r="M101" i="3"/>
  <c r="O64" i="3" a="1"/>
  <c r="O64" i="3" s="1"/>
  <c r="O82" i="3" a="1"/>
  <c r="O82" i="3" s="1"/>
  <c r="O65" i="3" a="1"/>
  <c r="O65" i="3" s="1"/>
  <c r="O83" i="3" a="1"/>
  <c r="O83" i="3" s="1"/>
  <c r="I87" i="3"/>
  <c r="O67" i="3" a="1"/>
  <c r="O67" i="3" s="1"/>
  <c r="O85" i="3" a="1"/>
  <c r="O85" i="3" s="1"/>
  <c r="N66" i="3" a="1"/>
  <c r="N66" i="3" s="1"/>
  <c r="N84" i="3" a="1"/>
  <c r="N84" i="3" s="1"/>
  <c r="N65" i="3" a="1"/>
  <c r="N65" i="3" s="1"/>
  <c r="N83" i="3" a="1"/>
  <c r="N83" i="3" s="1"/>
  <c r="I68" i="3" a="1"/>
  <c r="I68" i="3" s="1"/>
  <c r="I69" i="3" s="1"/>
  <c r="I86" i="3" a="1"/>
  <c r="I86" i="3" s="1"/>
  <c r="N67" i="3" a="1"/>
  <c r="N67" i="3" s="1"/>
  <c r="N85" i="3" a="1"/>
  <c r="N85" i="3" s="1"/>
  <c r="O66" i="3" a="1"/>
  <c r="O66" i="3" s="1"/>
  <c r="O84" i="3" a="1"/>
  <c r="O84" i="3" s="1"/>
  <c r="I45" i="3"/>
  <c r="I46" i="3" s="1"/>
  <c r="J37" i="3" a="1"/>
  <c r="J37" i="3" s="1"/>
  <c r="J27" i="3" a="1"/>
  <c r="J27" i="3" s="1"/>
  <c r="J20" i="3"/>
  <c r="O101" i="3" l="1"/>
  <c r="O99" i="3"/>
  <c r="O98" i="3"/>
  <c r="N99" i="3"/>
  <c r="N101" i="3"/>
  <c r="N100" i="3"/>
  <c r="O100" i="3"/>
  <c r="I102" i="3"/>
  <c r="I103" i="3"/>
  <c r="I112" i="3" s="1"/>
  <c r="I114" i="3" s="1"/>
  <c r="I117" i="3" s="1"/>
  <c r="I119" i="3" s="1"/>
  <c r="J62" i="3" a="1"/>
  <c r="J62" i="3" s="1"/>
  <c r="J80" i="3" a="1"/>
  <c r="J80" i="3" s="1"/>
  <c r="I70" i="3"/>
  <c r="I71" i="3" s="1"/>
  <c r="J38" i="3"/>
  <c r="K19" i="3" a="1"/>
  <c r="K19" i="3" s="1"/>
  <c r="J44" i="3" a="1"/>
  <c r="J44" i="3" s="1"/>
  <c r="J28" i="3"/>
  <c r="J96" i="3" l="1"/>
  <c r="J68" i="3" a="1"/>
  <c r="J68" i="3" s="1"/>
  <c r="J69" i="3" s="1"/>
  <c r="J86" i="3" a="1"/>
  <c r="J86" i="3" s="1"/>
  <c r="J87" i="3" s="1"/>
  <c r="J45" i="3"/>
  <c r="J46" i="3" s="1"/>
  <c r="K37" i="3" a="1"/>
  <c r="K37" i="3" s="1"/>
  <c r="K27" i="3" a="1"/>
  <c r="K27" i="3" s="1"/>
  <c r="K20" i="3"/>
  <c r="J102" i="3" l="1"/>
  <c r="J103" i="3"/>
  <c r="J112" i="3" s="1"/>
  <c r="J114" i="3" s="1"/>
  <c r="J117" i="3" s="1"/>
  <c r="J119" i="3" s="1"/>
  <c r="K62" i="3" a="1"/>
  <c r="K62" i="3" s="1"/>
  <c r="K80" i="3" a="1"/>
  <c r="K80" i="3" s="1"/>
  <c r="J70" i="3"/>
  <c r="J71" i="3" s="1"/>
  <c r="K38" i="3"/>
  <c r="L19" i="3" a="1"/>
  <c r="L19" i="3" s="1"/>
  <c r="K44" i="3" a="1"/>
  <c r="K44" i="3" s="1"/>
  <c r="K28" i="3"/>
  <c r="K96" i="3" l="1"/>
  <c r="K68" i="3" a="1"/>
  <c r="K68" i="3" s="1"/>
  <c r="K69" i="3" s="1"/>
  <c r="K86" i="3" a="1"/>
  <c r="K86" i="3" s="1"/>
  <c r="K87" i="3" s="1"/>
  <c r="K45" i="3"/>
  <c r="K46" i="3" s="1"/>
  <c r="L37" i="3" a="1"/>
  <c r="L37" i="3" s="1"/>
  <c r="L27" i="3" a="1"/>
  <c r="L27" i="3" s="1"/>
  <c r="L20" i="3"/>
  <c r="K102" i="3" l="1"/>
  <c r="K103" i="3"/>
  <c r="K112" i="3" s="1"/>
  <c r="K114" i="3" s="1"/>
  <c r="K117" i="3" s="1"/>
  <c r="K119" i="3" s="1"/>
  <c r="L62" i="3" a="1"/>
  <c r="L62" i="3" s="1"/>
  <c r="L80" i="3" a="1"/>
  <c r="L80" i="3" s="1"/>
  <c r="K70" i="3"/>
  <c r="L38" i="3"/>
  <c r="M19" i="3" a="1"/>
  <c r="M19" i="3" s="1"/>
  <c r="L44" i="3" a="1"/>
  <c r="L44" i="3" s="1"/>
  <c r="L28" i="3"/>
  <c r="L96" i="3" l="1"/>
  <c r="L68" i="3" a="1"/>
  <c r="L68" i="3" s="1"/>
  <c r="L69" i="3" s="1"/>
  <c r="L86" i="3" a="1"/>
  <c r="L86" i="3" s="1"/>
  <c r="L87" i="3" s="1"/>
  <c r="L45" i="3"/>
  <c r="L46" i="3" s="1"/>
  <c r="M37" i="3" a="1"/>
  <c r="M37" i="3" s="1"/>
  <c r="M20" i="3"/>
  <c r="M27" i="3" a="1"/>
  <c r="M27" i="3" s="1"/>
  <c r="L102" i="3" l="1"/>
  <c r="L103" i="3"/>
  <c r="L112" i="3" s="1"/>
  <c r="L114" i="3" s="1"/>
  <c r="L117" i="3" s="1"/>
  <c r="L119" i="3" s="1"/>
  <c r="M62" i="3" a="1"/>
  <c r="M62" i="3" s="1"/>
  <c r="M80" i="3" a="1"/>
  <c r="M80" i="3" s="1"/>
  <c r="L70" i="3"/>
  <c r="L71" i="3"/>
  <c r="M38" i="3"/>
  <c r="N19" i="3" a="1"/>
  <c r="N19" i="3" s="1"/>
  <c r="M44" i="3" a="1"/>
  <c r="M44" i="3" s="1"/>
  <c r="M28" i="3"/>
  <c r="M96" i="3" l="1"/>
  <c r="M68" i="3" a="1"/>
  <c r="M68" i="3" s="1"/>
  <c r="M69" i="3" s="1"/>
  <c r="M86" i="3" a="1"/>
  <c r="M86" i="3" s="1"/>
  <c r="M87" i="3" s="1"/>
  <c r="M45" i="3"/>
  <c r="M46" i="3" s="1"/>
  <c r="N37" i="3" a="1"/>
  <c r="N37" i="3" s="1"/>
  <c r="N20" i="3"/>
  <c r="N27" i="3" a="1"/>
  <c r="N27" i="3" s="1"/>
  <c r="M102" i="3" l="1"/>
  <c r="M103" i="3"/>
  <c r="M112" i="3" s="1"/>
  <c r="M114" i="3" s="1"/>
  <c r="M117" i="3" s="1"/>
  <c r="M119" i="3" s="1"/>
  <c r="N62" i="3" a="1"/>
  <c r="N62" i="3" s="1"/>
  <c r="N80" i="3" a="1"/>
  <c r="N80" i="3" s="1"/>
  <c r="M70" i="3"/>
  <c r="M71" i="3"/>
  <c r="N38" i="3"/>
  <c r="O19" i="3" a="1"/>
  <c r="O19" i="3" s="1"/>
  <c r="N44" i="3" a="1"/>
  <c r="N44" i="3" s="1"/>
  <c r="N28" i="3"/>
  <c r="N96" i="3" l="1"/>
  <c r="N68" i="3" a="1"/>
  <c r="N68" i="3" s="1"/>
  <c r="N69" i="3" s="1"/>
  <c r="N86" i="3" a="1"/>
  <c r="N86" i="3" s="1"/>
  <c r="N87" i="3" s="1"/>
  <c r="N45" i="3"/>
  <c r="N46" i="3" s="1"/>
  <c r="O37" i="3" a="1"/>
  <c r="O37" i="3" s="1"/>
  <c r="O20" i="3"/>
  <c r="O27" i="3" a="1"/>
  <c r="O27" i="3" s="1"/>
  <c r="N102" i="3" l="1"/>
  <c r="N103" i="3"/>
  <c r="N112" i="3" s="1"/>
  <c r="N114" i="3" s="1"/>
  <c r="N117" i="3" s="1"/>
  <c r="N119" i="3" s="1"/>
  <c r="O62" i="3" a="1"/>
  <c r="O62" i="3" s="1"/>
  <c r="O80" i="3" a="1"/>
  <c r="O80" i="3" s="1"/>
  <c r="N70" i="3"/>
  <c r="N71" i="3" s="1"/>
  <c r="O38" i="3"/>
  <c r="O28" i="3"/>
  <c r="O44" i="3" a="1"/>
  <c r="O44" i="3" s="1"/>
  <c r="O96" i="3" l="1"/>
  <c r="O68" i="3" a="1"/>
  <c r="O68" i="3" s="1"/>
  <c r="O69" i="3" s="1"/>
  <c r="O86" i="3" a="1"/>
  <c r="O86" i="3" s="1"/>
  <c r="O87" i="3" s="1"/>
  <c r="O45" i="3"/>
  <c r="O46" i="3" s="1"/>
  <c r="O102" i="3" l="1"/>
  <c r="O103" i="3"/>
  <c r="O112" i="3" s="1"/>
  <c r="O114" i="3" s="1"/>
  <c r="O117" i="3" s="1"/>
  <c r="O119" i="3" s="1"/>
  <c r="O70" i="3"/>
  <c r="O7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<sst xmlns="http://schemas.openxmlformats.org/spreadsheetml/2006/main" count="250" uniqueCount="65">
  <si>
    <t>Ecommerce Model</t>
  </si>
  <si>
    <t>aov</t>
  </si>
  <si>
    <t>COGS</t>
  </si>
  <si>
    <t>EBITDA</t>
  </si>
  <si>
    <t>Gross Profit</t>
  </si>
  <si>
    <t>Marketing Expense</t>
  </si>
  <si>
    <t>Contribution Margin</t>
  </si>
  <si>
    <t>Assumptions</t>
  </si>
  <si>
    <t>Calculations</t>
  </si>
  <si>
    <t>returns_discounts_pct</t>
  </si>
  <si>
    <t>Net Revenue</t>
  </si>
  <si>
    <t>Operating Expenses</t>
  </si>
  <si>
    <t>Fixed OpEx</t>
  </si>
  <si>
    <t>Fixed Costs</t>
  </si>
  <si>
    <t>Channel</t>
  </si>
  <si>
    <t>Paid Search</t>
  </si>
  <si>
    <t>Paid Social</t>
  </si>
  <si>
    <t>Affiliates</t>
  </si>
  <si>
    <t>Display/Other</t>
  </si>
  <si>
    <t>Total</t>
  </si>
  <si>
    <t>Organic</t>
  </si>
  <si>
    <t>CAC</t>
  </si>
  <si>
    <t>Orders</t>
  </si>
  <si>
    <t>half_sat</t>
  </si>
  <si>
    <t>max</t>
  </si>
  <si>
    <t>activation</t>
  </si>
  <si>
    <t>retention</t>
  </si>
  <si>
    <t>reorder</t>
  </si>
  <si>
    <t>allocation</t>
  </si>
  <si>
    <t>Period Number</t>
  </si>
  <si>
    <t>Advertising Spend</t>
  </si>
  <si>
    <t>fulfillment_cost</t>
  </si>
  <si>
    <t>processing_cost</t>
  </si>
  <si>
    <t>model_duration</t>
  </si>
  <si>
    <t>model_start_date</t>
  </si>
  <si>
    <t>mktg_g_pct</t>
  </si>
  <si>
    <t>ini_mktg_spend</t>
  </si>
  <si>
    <t>fixed_opex</t>
  </si>
  <si>
    <t>aov_g_pct</t>
  </si>
  <si>
    <t>Customer Acquisition</t>
  </si>
  <si>
    <t>ini_pop</t>
  </si>
  <si>
    <t>g_pct</t>
  </si>
  <si>
    <t>adhalo_pct</t>
  </si>
  <si>
    <t>Spillover Effect</t>
  </si>
  <si>
    <t>Word-of-Mouth</t>
  </si>
  <si>
    <t>Customer Base</t>
  </si>
  <si>
    <t>new_orders</t>
  </si>
  <si>
    <t>New Customer Orders</t>
  </si>
  <si>
    <t>Repeat Orders</t>
  </si>
  <si>
    <t xml:space="preserve"> New Customer Subtotal</t>
  </si>
  <si>
    <t>Return Customer Subtotal</t>
  </si>
  <si>
    <t>Blended CAC</t>
  </si>
  <si>
    <t>Revenues</t>
  </si>
  <si>
    <t>New Customers</t>
  </si>
  <si>
    <t>Repeat Customers</t>
  </si>
  <si>
    <t>cogs_factor</t>
  </si>
  <si>
    <t>Less: Returns and Discounts</t>
  </si>
  <si>
    <t>unit_cost</t>
  </si>
  <si>
    <t>Total: Gross Merch Sales</t>
  </si>
  <si>
    <t>Total: COGS</t>
  </si>
  <si>
    <t>cogs_g_pct</t>
  </si>
  <si>
    <t>Total Gross Profit</t>
  </si>
  <si>
    <t>Fixed Operating Expense</t>
  </si>
  <si>
    <t>Total OpEx</t>
  </si>
  <si>
    <t>Operating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</si>
</sst>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* #,##0.0_);_(* \(#,##0.0\);_(* &quot;-&quot;?_);_(@_)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44" fontId="2" fillId="0" borderId="0" applyFont="0" applyFill="0" applyBorder="0" applyAlignment="0" applyProtection="0"/>
    <xf numFmtId="0" fontId="1" fillId="0" borderId="9" applyNumberFormat="0" applyFill="0" applyAlignment="0" applyProtection="0"/>
  </cellStyleXfs>
  <cellXfs count="46">
    <xf numFmtId="0" fontId="0" fillId="0" borderId="0" xfId="0"/>
    <xf numFmtId="14" fontId="0" fillId="0" borderId="0" xfId="0" applyNumberFormat="1"/>
    <xf numFmtId="14" fontId="6" fillId="2" borderId="4" xfId="6" applyNumberFormat="1"/>
    <xf numFmtId="3" fontId="6" fillId="2" borderId="4" xfId="6" applyNumberFormat="1"/>
    <xf numFmtId="0" fontId="6" fillId="2" borderId="4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1" applyNumberFormat="1" applyFont="1"/>
    <xf numFmtId="0" fontId="1" fillId="0" borderId="0" xfId="0" applyFont="1"/>
    <xf numFmtId="165" fontId="6" fillId="2" borderId="4" xfId="2" applyNumberFormat="1" applyFont="1" applyFill="1" applyBorder="1"/>
    <xf numFmtId="0" fontId="0" fillId="0" borderId="0" xfId="0" applyAlignment="1">
      <alignment horizontal="left" indent="1"/>
    </xf>
    <xf numFmtId="10" fontId="6" fillId="2" borderId="4" xfId="6" applyNumberFormat="1"/>
    <xf numFmtId="0" fontId="5" fillId="0" borderId="0" xfId="5"/>
    <xf numFmtId="44" fontId="0" fillId="0" borderId="0" xfId="7" applyFont="1"/>
    <xf numFmtId="166" fontId="0" fillId="0" borderId="0" xfId="7" applyNumberFormat="1" applyFont="1"/>
    <xf numFmtId="164" fontId="6" fillId="2" borderId="4" xfId="6" applyNumberFormat="1"/>
    <xf numFmtId="44" fontId="6" fillId="2" borderId="4" xfId="7" applyFont="1" applyFill="1" applyBorder="1"/>
    <xf numFmtId="2" fontId="6" fillId="2" borderId="4" xfId="6" applyNumberFormat="1"/>
    <xf numFmtId="0" fontId="7" fillId="0" borderId="0" xfId="5" applyFont="1"/>
    <xf numFmtId="9" fontId="6" fillId="2" borderId="4" xfId="2" applyFont="1" applyFill="1" applyBorder="1"/>
    <xf numFmtId="166" fontId="6" fillId="2" borderId="4" xfId="7" applyNumberFormat="1" applyFont="1" applyFill="1" applyBorder="1"/>
    <xf numFmtId="164" fontId="6" fillId="2" borderId="4" xfId="1" applyNumberFormat="1" applyFont="1" applyFill="1" applyBorder="1"/>
    <xf numFmtId="3" fontId="6" fillId="2" borderId="0" xfId="6" applyNumberFormat="1" applyBorder="1"/>
    <xf numFmtId="0" fontId="8" fillId="3" borderId="7" xfId="0" applyFont="1" applyFill="1" applyBorder="1"/>
    <xf numFmtId="0" fontId="8" fillId="3" borderId="8" xfId="0" applyFont="1" applyFill="1" applyBorder="1"/>
    <xf numFmtId="9" fontId="8" fillId="3" borderId="7" xfId="2" applyFont="1" applyFill="1" applyBorder="1"/>
    <xf numFmtId="44" fontId="6" fillId="2" borderId="4" xfId="6" applyNumberFormat="1"/>
    <xf numFmtId="9" fontId="6" fillId="2" borderId="4" xfId="6" applyNumberFormat="1"/>
    <xf numFmtId="167" fontId="0" fillId="0" borderId="0" xfId="0" applyNumberFormat="1"/>
    <xf numFmtId="0" fontId="1" fillId="0" borderId="9" xfId="8"/>
    <xf numFmtId="164" fontId="1" fillId="0" borderId="9" xfId="8" applyNumberFormat="1"/>
    <xf numFmtId="166" fontId="1" fillId="0" borderId="9" xfId="8" applyNumberFormat="1"/>
    <xf numFmtId="2" fontId="6" fillId="2" borderId="4" xfId="2" applyNumberFormat="1" applyFont="1" applyFill="1" applyBorder="1"/>
    <xf numFmtId="0" fontId="5" fillId="4" borderId="2" xfId="3" applyFont="1" applyFill="1"/>
    <xf numFmtId="0" fontId="2" fillId="4" borderId="0" xfId="0" applyFont="1" applyFill="1"/>
    <xf numFmtId="0" fontId="5" fillId="4" borderId="3" xfId="4" applyFont="1" applyFill="1"/>
    <xf numFmtId="1" fontId="2" fillId="4" borderId="1" xfId="0" applyNumberFormat="1" applyFont="1" applyFill="1" applyBorder="1"/>
    <xf numFmtId="1" fontId="2" fillId="4" borderId="0" xfId="0" applyNumberFormat="1" applyFont="1" applyFill="1"/>
    <xf numFmtId="14" fontId="2" fillId="4" borderId="0" xfId="0" applyNumberFormat="1" applyFont="1" applyFill="1"/>
    <xf numFmtId="14" fontId="2" fillId="4" borderId="6" xfId="0" applyNumberFormat="1" applyFont="1" applyFill="1" applyBorder="1"/>
    <xf numFmtId="14" fontId="2" fillId="4" borderId="5" xfId="0" applyNumberFormat="1" applyFont="1" applyFill="1" applyBorder="1"/>
    <xf numFmtId="0" fontId="9" fillId="0" borderId="0" xfId="0" applyFont="1" applyAlignment="1">
      <alignment horizontal="right"/>
    </xf>
    <xf numFmtId="44" fontId="1" fillId="0" borderId="9" xfId="8" applyNumberFormat="1"/>
    <xf numFmtId="166" fontId="0" fillId="0" borderId="0" xfId="0" applyNumberFormat="1"/>
    <xf numFmtId="10" fontId="6" fillId="2" borderId="4" xfId="2" applyNumberFormat="1" applyFont="1" applyFill="1" applyBorder="1"/>
    <xf numFmtId="0" fontId="1" fillId="0" borderId="9" xfId="8" applyAlignment="1">
      <alignment horizontal="left" indent="1"/>
    </xf>
  </cellXfs>
  <cellStyles count="9">
    <cellStyle name="Comma" xfId="1" builtinId="3"/>
    <cellStyle name="Currency" xfId="7" builtinId="4"/>
    <cellStyle name="Heading 1" xfId="3" builtinId="16"/>
    <cellStyle name="Heading 2" xfId="4" builtinId="17"/>
    <cellStyle name="Heading 4" xfId="5" builtinId="19"/>
    <cellStyle name="Input" xfId="6" builtinId="20"/>
    <cellStyle name="Normal" xfId="0" builtinId="0"/>
    <cellStyle name="Percent" xfId="2" builtinId="5"/>
    <cellStyle name="Total" xfId="8" builtinId="25"/>
  </cellStyles>
  <dxfs count="17">
    <dxf>
      <border outline="0">
        <left style="thin">
          <color rgb="FF7F7F7F"/>
        </left>
      </border>
    </dxf>
    <dxf>
      <numFmt numFmtId="2" formatCode="0.00"/>
    </dxf>
    <dxf>
      <border outline="0">
        <right style="thin">
          <color rgb="FF7F7F7F"/>
        </right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Aptos Narrow"/>
        <family val="2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numFmt numFmtId="164" formatCode="_(* #,##0_);_(* \(#,##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2" formatCode="0.00"/>
      <border outline="0">
        <left style="thin">
          <color rgb="FF7F7F7F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Aptos Narrow"/>
        <family val="2"/>
        <scheme val="minor"/>
      </font>
      <numFmt numFmtId="2" formatCode="0.00"/>
      <fill>
        <patternFill patternType="solid">
          <fgColor indexed="64"/>
          <bgColor rgb="FFFFCC99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border outline="0">
        <left style="thin">
          <color rgb="FF7F7F7F"/>
        </left>
        <right style="thin">
          <color rgb="FF7F7F7F"/>
        </right>
      </border>
    </dxf>
    <dxf>
      <border>
        <left style="thin">
          <color rgb="FF7F7F7F"/>
        </left>
        <right style="thin">
          <color rgb="FF7F7F7F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Aptos Narrow"/>
        <family val="2"/>
        <scheme val="minor"/>
      </font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>
        <left style="thin">
          <color rgb="FF7F7F7F"/>
        </left>
        <right style="thin">
          <color rgb="FF7F7F7F"/>
        </right>
      </border>
    </dxf>
    <dxf>
      <numFmt numFmtId="164" formatCode="_(* #,##0_);_(* \(#,##0\);_(* &quot;-&quot;??_);_(@_)"/>
      <border outline="0">
        <left style="thin">
          <color rgb="FF7F7F7F"/>
        </left>
        <right style="thin">
          <color rgb="FF7F7F7F"/>
        </right>
      </border>
    </dxf>
    <dxf>
      <numFmt numFmtId="166" formatCode="_(&quot;$&quot;* #,##0_);_(&quot;$&quot;* \(#,##0\);_(&quot;$&quot;* &quot;-&quot;??_);_(@_)"/>
      <border outline="0">
        <left style="thin">
          <color rgb="FF7F7F7F"/>
        </left>
        <right style="thin">
          <color rgb="FF7F7F7F"/>
        </right>
      </border>
    </dxf>
    <dxf>
      <border outline="0">
        <left/>
        <right style="thin">
          <color rgb="FF7F7F7F"/>
        </right>
      </border>
    </dxf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FE11F2-5A9F-4F95-AB94-E2130001BB45}" name="tbl_Channels" displayName="tbl_Channels" ref="H4:T8" totalsRowShown="0">
  <autoFilter ref="H4:T8" xr:uid="{B0FE11F2-5A9F-4F95-AB94-E2130001BB45}"/>
  <tableColumns count="13">
    <tableColumn id="1" xr3:uid="{605D393D-6F68-487F-B1DB-BB9C1A230A9B}" name="Channel"/>
    <tableColumn id="11" xr3:uid="{D1772DAF-1C1E-4D33-9949-CAE55366EF69}" name="ini_pop" dataDxfId="16" dataCellStyle="Input"/>
    <tableColumn id="2" xr3:uid="{70DFBC41-4AA3-42A7-A0F1-51E3B284CD66}" name="allocation" dataDxfId="15" dataCellStyle="Percent"/>
    <tableColumn id="3" xr3:uid="{A3B8EBFE-50F3-43BF-A251-4CDFDD79308C}" name="half_sat" dataDxfId="14" dataCellStyle="Currency"/>
    <tableColumn id="4" xr3:uid="{9E73D79F-43C8-4ECD-875F-AB68F561051B}" name="max" dataDxfId="13" dataCellStyle="Comma"/>
    <tableColumn id="5" xr3:uid="{81D70015-291A-4643-A11A-D60A7D58529F}" name="aov" dataDxfId="12" dataCellStyle="Currency"/>
    <tableColumn id="13" xr3:uid="{EC5C30DA-D970-4022-A9D1-E8D5AACC5A31}" name="unit_cost" dataDxfId="11" dataCellStyle="Currency"/>
    <tableColumn id="6" xr3:uid="{AC2745BC-EA8E-4B1A-A8D0-E5E056FE38C1}" name="activation" dataDxfId="10" dataCellStyle="Percent"/>
    <tableColumn id="7" xr3:uid="{68C3FC0C-2ED7-4A74-A076-D3C87DC56AE5}" name="retention" dataDxfId="9" dataCellStyle="Percent"/>
    <tableColumn id="12" xr3:uid="{D3FCC88E-BD4F-4A37-9A4A-64EFE12A1E1A}" name="new_orders" dataDxfId="8" dataCellStyle="Percent"/>
    <tableColumn id="8" xr3:uid="{65116236-DA78-41C9-89DF-8440DEB1996D}" name="reorder" dataDxfId="7" dataCellStyle="Input"/>
    <tableColumn id="10" xr3:uid="{CD8F31D1-0765-4674-8C33-5344C3121874}" name="fulfillment_cost" dataCellStyle="Currency"/>
    <tableColumn id="9" xr3:uid="{8798EAC9-35DB-4515-95C4-B6DDB54B26EA}" name="processing_cost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D250AA-FF57-4693-A32C-545E0BF0F4ED}" name="tbl_Organic" displayName="tbl_Organic" ref="H10:S11" totalsRowShown="0" headerRowDxfId="6">
  <autoFilter ref="H10:S11" xr:uid="{56D250AA-FF57-4693-A32C-545E0BF0F4ED}"/>
  <tableColumns count="12">
    <tableColumn id="1" xr3:uid="{7F3B9847-00BE-4A78-AC84-5EB3372A6D76}" name="Channel"/>
    <tableColumn id="2" xr3:uid="{4892BEB4-F135-4251-92E5-EEAF7D7DA130}" name="ini_pop" dataDxfId="5" dataCellStyle="Input"/>
    <tableColumn id="11" xr3:uid="{D3CB8664-A35F-4455-9366-CDB0A06594EA}" name="g_pct" dataCellStyle="Percent"/>
    <tableColumn id="12" xr3:uid="{DCB05C86-7CBE-4983-9840-E0465B1C1AA6}" name="adhalo_pct" dataDxfId="4" dataCellStyle="Percent"/>
    <tableColumn id="3" xr3:uid="{7E6BD1A4-CAF5-4A89-9D68-62DAEC4AD007}" name="aov" dataCellStyle="Input"/>
    <tableColumn id="10" xr3:uid="{E5CCA2D8-BF96-43D5-8745-BE48CD43D735}" name="unit_cost" dataDxfId="3" dataCellStyle="Input"/>
    <tableColumn id="4" xr3:uid="{83D595EA-4FF2-403C-B603-13446D973565}" name="activation" dataCellStyle="Input"/>
    <tableColumn id="5" xr3:uid="{6514453D-4882-4DD4-BC5F-F63F4B8EE6DB}" name="retention" dataDxfId="2" dataCellStyle="Input"/>
    <tableColumn id="9" xr3:uid="{A50F1967-ACE7-4FCC-A524-30629136B3CF}" name="new_orders" dataDxfId="1" dataCellStyle="Input"/>
    <tableColumn id="6" xr3:uid="{591FAFFA-4F6A-4091-BBDD-63E1B951A7BB}" name="reorder" dataDxfId="0" dataCellStyle="Input"/>
    <tableColumn id="7" xr3:uid="{21479BDC-23B4-4E5A-AB28-261730B26AF3}" name="fulfillment_cost" dataCellStyle="Input"/>
    <tableColumn id="8" xr3:uid="{75A11B13-83FF-45C0-B2A3-53839FEFC06D}" name="processing_cost" dataCellStyle="Inpu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BAA4-7033-4C53-A712-481D47A055ED}">
  <sheetPr codeName="Sheet1"/>
  <dimension ref="A1:AA21"/>
  <sheetViews>
    <sheetView topLeftCell="E1" zoomScale="110" zoomScaleNormal="100" workbookViewId="0">
      <selection activeCell="T5" sqref="T5"/>
    </sheetView>
  </sheetViews>
  <sheetFormatPr defaultRowHeight="14.5" x14ac:dyDescent="0.35"/>
  <cols>
    <col min="1" max="1" width="2.6328125" customWidth="1"/>
    <col min="2" max="2" width="15" bestFit="1" customWidth="1"/>
    <col min="4" max="4" width="2.6328125" customWidth="1"/>
    <col min="5" max="5" width="15" bestFit="1" customWidth="1"/>
    <col min="6" max="6" width="7.36328125" bestFit="1" customWidth="1"/>
    <col min="7" max="7" width="2.6328125" customWidth="1"/>
    <col min="8" max="8" width="12" bestFit="1" customWidth="1"/>
    <col min="9" max="9" width="9.26953125" bestFit="1" customWidth="1"/>
    <col min="10" max="10" width="11.6328125" bestFit="1" customWidth="1"/>
    <col min="11" max="11" width="12.54296875" bestFit="1" customWidth="1"/>
    <col min="12" max="12" width="9.26953125" bestFit="1" customWidth="1"/>
    <col min="13" max="13" width="8.6328125" bestFit="1" customWidth="1"/>
    <col min="14" max="14" width="11.54296875" bestFit="1" customWidth="1"/>
    <col min="15" max="15" width="10.7265625" bestFit="1" customWidth="1"/>
    <col min="16" max="16" width="9.08984375" bestFit="1" customWidth="1"/>
    <col min="17" max="17" width="16.26953125" bestFit="1" customWidth="1"/>
    <col min="18" max="18" width="16.6328125" bestFit="1" customWidth="1"/>
  </cols>
  <sheetData>
    <row r="1" spans="1:27" s="34" customFormat="1" ht="15" thickBot="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34" customFormat="1" ht="15.5" thickTop="1" thickBot="1" x14ac:dyDescent="0.4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" thickTop="1" x14ac:dyDescent="0.35"/>
    <row r="4" spans="1:27" x14ac:dyDescent="0.35">
      <c r="B4" s="6" t="s">
        <v>34</v>
      </c>
      <c r="C4" s="2">
        <v>46023</v>
      </c>
      <c r="E4" s="6" t="s">
        <v>13</v>
      </c>
      <c r="H4" t="s">
        <v>14</v>
      </c>
      <c r="I4" t="s">
        <v>40</v>
      </c>
      <c r="J4" t="s">
        <v>28</v>
      </c>
      <c r="K4" t="s">
        <v>23</v>
      </c>
      <c r="L4" t="s">
        <v>24</v>
      </c>
      <c r="M4" t="s">
        <v>1</v>
      </c>
      <c r="N4" t="s">
        <v>57</v>
      </c>
      <c r="O4" t="s">
        <v>25</v>
      </c>
      <c r="P4" t="s">
        <v>26</v>
      </c>
      <c r="Q4" t="s">
        <v>46</v>
      </c>
      <c r="R4" t="s">
        <v>27</v>
      </c>
      <c r="S4" t="s">
        <v>31</v>
      </c>
      <c r="T4" t="s">
        <v>32</v>
      </c>
    </row>
    <row r="5" spans="1:27" x14ac:dyDescent="0.35">
      <c r="B5" s="6" t="s">
        <v>33</v>
      </c>
      <c r="C5" s="4">
        <v>12</v>
      </c>
      <c r="E5" s="6" t="s">
        <v>37</v>
      </c>
      <c r="F5" s="3">
        <v>150000</v>
      </c>
      <c r="H5" t="s">
        <v>15</v>
      </c>
      <c r="I5" s="15">
        <v>1000</v>
      </c>
      <c r="J5" s="19">
        <v>0.25</v>
      </c>
      <c r="K5" s="20">
        <v>71000</v>
      </c>
      <c r="L5" s="21">
        <v>11000</v>
      </c>
      <c r="M5" s="16">
        <v>90</v>
      </c>
      <c r="N5" s="16">
        <v>42</v>
      </c>
      <c r="O5" s="19">
        <v>0.8</v>
      </c>
      <c r="P5" s="19">
        <v>0.75</v>
      </c>
      <c r="Q5" s="32">
        <v>1.1000000000000001</v>
      </c>
      <c r="R5" s="17">
        <v>0.2</v>
      </c>
      <c r="S5" s="16">
        <v>6.7</v>
      </c>
      <c r="T5" s="16">
        <v>2</v>
      </c>
    </row>
    <row r="6" spans="1:27" x14ac:dyDescent="0.35">
      <c r="H6" t="s">
        <v>16</v>
      </c>
      <c r="I6" s="15">
        <v>900</v>
      </c>
      <c r="J6" s="19">
        <v>0.25</v>
      </c>
      <c r="K6" s="20">
        <v>38000</v>
      </c>
      <c r="L6" s="21">
        <v>7000</v>
      </c>
      <c r="M6" s="16">
        <v>70</v>
      </c>
      <c r="N6" s="16">
        <v>33</v>
      </c>
      <c r="O6" s="19">
        <v>0.8</v>
      </c>
      <c r="P6" s="19">
        <v>0.75</v>
      </c>
      <c r="Q6" s="32">
        <v>1.1000000000000001</v>
      </c>
      <c r="R6" s="17">
        <v>0.2</v>
      </c>
      <c r="S6" s="16">
        <v>4.4000000000000004</v>
      </c>
      <c r="T6" s="16">
        <v>2</v>
      </c>
    </row>
    <row r="7" spans="1:27" x14ac:dyDescent="0.35">
      <c r="B7" s="6" t="s">
        <v>36</v>
      </c>
      <c r="C7" s="22">
        <v>194098.06788254992</v>
      </c>
      <c r="E7" t="s">
        <v>60</v>
      </c>
      <c r="F7" s="44">
        <v>2E-3</v>
      </c>
      <c r="H7" t="s">
        <v>17</v>
      </c>
      <c r="I7" s="15">
        <v>800</v>
      </c>
      <c r="J7" s="19">
        <v>0.25</v>
      </c>
      <c r="K7" s="20">
        <v>17000</v>
      </c>
      <c r="L7" s="21">
        <v>6250</v>
      </c>
      <c r="M7" s="16">
        <v>85</v>
      </c>
      <c r="N7" s="16">
        <v>37.75</v>
      </c>
      <c r="O7" s="19">
        <v>0.8</v>
      </c>
      <c r="P7" s="19">
        <v>0.75</v>
      </c>
      <c r="Q7" s="32">
        <v>1.1000000000000001</v>
      </c>
      <c r="R7" s="17">
        <v>0.2</v>
      </c>
      <c r="S7" s="16">
        <v>5.15</v>
      </c>
      <c r="T7" s="16">
        <v>2</v>
      </c>
    </row>
    <row r="8" spans="1:27" x14ac:dyDescent="0.35">
      <c r="B8" s="6" t="s">
        <v>35</v>
      </c>
      <c r="C8" s="11">
        <v>0.02</v>
      </c>
      <c r="E8" s="6" t="s">
        <v>38</v>
      </c>
      <c r="F8" s="44">
        <v>3.5000000000000001E-3</v>
      </c>
      <c r="H8" t="s">
        <v>18</v>
      </c>
      <c r="I8" s="15">
        <v>200</v>
      </c>
      <c r="J8" s="19">
        <v>0.25</v>
      </c>
      <c r="K8" s="20">
        <v>1000</v>
      </c>
      <c r="L8" s="21">
        <v>3000</v>
      </c>
      <c r="M8" s="16">
        <v>75</v>
      </c>
      <c r="N8" s="16">
        <v>34.65</v>
      </c>
      <c r="O8" s="19">
        <v>0.8</v>
      </c>
      <c r="P8" s="19">
        <v>0.75</v>
      </c>
      <c r="Q8" s="32">
        <v>1.1000000000000001</v>
      </c>
      <c r="R8" s="17">
        <v>0.2</v>
      </c>
      <c r="S8" s="16">
        <v>4.05</v>
      </c>
      <c r="T8" s="16">
        <v>2</v>
      </c>
    </row>
    <row r="9" spans="1:27" x14ac:dyDescent="0.35">
      <c r="E9" s="6" t="s">
        <v>9</v>
      </c>
      <c r="F9" s="9">
        <v>0.18</v>
      </c>
    </row>
    <row r="10" spans="1:27" x14ac:dyDescent="0.35">
      <c r="B10" s="6" t="s">
        <v>55</v>
      </c>
      <c r="H10" t="s">
        <v>14</v>
      </c>
      <c r="I10" t="s">
        <v>40</v>
      </c>
      <c r="J10" t="s">
        <v>41</v>
      </c>
      <c r="K10" t="s">
        <v>42</v>
      </c>
      <c r="L10" s="23" t="s">
        <v>1</v>
      </c>
      <c r="M10" s="23" t="s">
        <v>57</v>
      </c>
      <c r="N10" s="25" t="s">
        <v>25</v>
      </c>
      <c r="O10" s="25" t="s">
        <v>26</v>
      </c>
      <c r="P10" s="25" t="s">
        <v>46</v>
      </c>
      <c r="Q10" s="23" t="s">
        <v>27</v>
      </c>
      <c r="R10" s="23" t="s">
        <v>31</v>
      </c>
      <c r="S10" s="24" t="s">
        <v>32</v>
      </c>
    </row>
    <row r="11" spans="1:27" x14ac:dyDescent="0.35">
      <c r="H11" t="s">
        <v>20</v>
      </c>
      <c r="I11" s="15">
        <v>2000</v>
      </c>
      <c r="J11" s="19">
        <v>0.01</v>
      </c>
      <c r="K11" s="19">
        <v>0.08</v>
      </c>
      <c r="L11" s="26">
        <v>100</v>
      </c>
      <c r="M11" s="26">
        <v>43.22</v>
      </c>
      <c r="N11" s="27">
        <v>0.9</v>
      </c>
      <c r="O11" s="27">
        <v>0.9</v>
      </c>
      <c r="P11" s="17">
        <v>1.5</v>
      </c>
      <c r="Q11" s="4">
        <v>0.2</v>
      </c>
      <c r="R11" s="26">
        <v>7.2</v>
      </c>
      <c r="S11" s="26">
        <v>2</v>
      </c>
    </row>
    <row r="15" spans="1:27" x14ac:dyDescent="0.35">
      <c r="K15" s="28"/>
    </row>
    <row r="16" spans="1:27" x14ac:dyDescent="0.35">
      <c r="D16" s="5"/>
    </row>
    <row r="17" spans="4:5" x14ac:dyDescent="0.35">
      <c r="D17" s="5"/>
    </row>
    <row r="20" spans="4:5" x14ac:dyDescent="0.35">
      <c r="E20" s="10"/>
    </row>
    <row r="21" spans="4:5" x14ac:dyDescent="0.35">
      <c r="E21" s="10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E566-D368-445A-98A5-D7A7212478E3}">
  <sheetPr codeName="Sheet2">
    <pageSetUpPr autoPageBreaks="0"/>
  </sheetPr>
  <dimension ref="A1:AA120"/>
  <sheetViews>
    <sheetView tabSelected="1" zoomScale="112" zoomScaleNormal="62" workbookViewId="0">
      <pane xSplit="3" ySplit="5" topLeftCell="D95" activePane="bottomRight" state="frozen"/>
      <selection pane="topRight" activeCell="B1" sqref="B1"/>
      <selection pane="bottomLeft" activeCell="A6" sqref="A6"/>
      <selection pane="bottomRight" activeCell="C14" sqref="C14"/>
    </sheetView>
  </sheetViews>
  <sheetFormatPr defaultColWidth="10.7265625" defaultRowHeight="14.5" x14ac:dyDescent="0.35"/>
  <cols>
    <col min="1" max="1" width="18.36328125" hidden="1" customWidth="1"/>
    <col min="2" max="2" width="20.7265625" hidden="1" customWidth="1"/>
    <col min="3" max="3" width="22.6328125" customWidth="1"/>
    <col min="4" max="4" width="14.26953125" bestFit="1" customWidth="1"/>
    <col min="5" max="15" width="12.7265625" customWidth="1"/>
  </cols>
  <sheetData>
    <row r="1" spans="1:27" s="34" customFormat="1" ht="15" thickBot="1" x14ac:dyDescent="0.4">
      <c r="C1" s="33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34" customFormat="1" ht="15.5" thickTop="1" thickBot="1" x14ac:dyDescent="0.4">
      <c r="C2" s="35" t="s">
        <v>8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37" customFormat="1" ht="15" thickTop="1" x14ac:dyDescent="0.35">
      <c r="C3" s="36" t="s">
        <v>29</v>
      </c>
      <c r="D3" s="37" cm="1">
        <f t="array" ref="D3:O3" xml:space="preserve"> _xlfn.SEQUENCE(, model_duration)</f>
        <v>1</v>
      </c>
      <c r="E3" s="37">
        <v>2</v>
      </c>
      <c r="F3" s="37">
        <v>3</v>
      </c>
      <c r="G3" s="37">
        <v>4</v>
      </c>
      <c r="H3" s="37">
        <v>5</v>
      </c>
      <c r="I3" s="37">
        <v>6</v>
      </c>
      <c r="J3" s="37">
        <v>7</v>
      </c>
      <c r="K3" s="37">
        <v>8</v>
      </c>
      <c r="L3" s="37">
        <v>9</v>
      </c>
      <c r="M3" s="37">
        <v>10</v>
      </c>
      <c r="N3" s="37">
        <v>11</v>
      </c>
      <c r="O3" s="37">
        <v>12</v>
      </c>
    </row>
    <row r="4" spans="1:27" s="38" customFormat="1" x14ac:dyDescent="0.35">
      <c r="C4" s="38" t="str" cm="1">
        <f t="array" ref="C4:O4">_xlfn.HSTACK("Period Start",EDATE(model_start_date,_xlfn.SEQUENCE(,model_duration)-1))</f>
        <v>Period Start</v>
      </c>
      <c r="D4" s="38">
        <v>46023</v>
      </c>
      <c r="E4" s="38">
        <v>46054</v>
      </c>
      <c r="F4" s="38">
        <v>46082</v>
      </c>
      <c r="G4" s="38">
        <v>46113</v>
      </c>
      <c r="H4" s="38">
        <v>46143</v>
      </c>
      <c r="I4" s="38">
        <v>46174</v>
      </c>
      <c r="J4" s="38">
        <v>46204</v>
      </c>
      <c r="K4" s="38">
        <v>46235</v>
      </c>
      <c r="L4" s="38">
        <v>46266</v>
      </c>
      <c r="M4" s="38">
        <v>46296</v>
      </c>
      <c r="N4" s="38">
        <v>46327</v>
      </c>
      <c r="O4" s="38">
        <v>46357</v>
      </c>
    </row>
    <row r="5" spans="1:27" s="40" customFormat="1" ht="15" thickBot="1" x14ac:dyDescent="0.4">
      <c r="C5" s="39" t="str" cm="1">
        <f t="array" ref="C5:O5">_xlfn.HSTACK("Period End",EOMONTH(EDATE(model_start_date,_xlfn.SEQUENCE(,model_duration)-1),0))</f>
        <v>Period End</v>
      </c>
      <c r="D5" s="40">
        <v>46053</v>
      </c>
      <c r="E5" s="40">
        <v>46081</v>
      </c>
      <c r="F5" s="40">
        <v>46112</v>
      </c>
      <c r="G5" s="40">
        <v>46142</v>
      </c>
      <c r="H5" s="40">
        <v>46173</v>
      </c>
      <c r="I5" s="40">
        <v>46203</v>
      </c>
      <c r="J5" s="40">
        <v>46234</v>
      </c>
      <c r="K5" s="40">
        <v>46265</v>
      </c>
      <c r="L5" s="40">
        <v>46295</v>
      </c>
      <c r="M5" s="40">
        <v>46326</v>
      </c>
      <c r="N5" s="40">
        <v>46356</v>
      </c>
      <c r="O5" s="40">
        <v>46387</v>
      </c>
    </row>
    <row r="6" spans="1:27" x14ac:dyDescent="0.35">
      <c r="C6" s="8" t="s">
        <v>30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7" x14ac:dyDescent="0.35">
      <c r="A7" t="s">
        <v>30</v>
      </c>
      <c r="C7" s="18" t="str" cm="1">
        <f t="array" ref="C7:O11">_xlfn.VSTACK(_xlfn.HSTACK(tbl_Channels[Channel],
TRUNC(ini_mktg_spend*POWER(1+mktg_g_pct,period_number-1)*tbl_Channels[allocation])),
_xlfn.HSTACK("Total",_xlfn.BYCOL(TRUNC(ini_mktg_spend*POWER(1+mktg_g_pct,period_number-1)*tbl_Channels[allocation]),_xlfn.LAMBDA(_xlpm.array,SUM(_xlpm.array)))))</f>
        <v>Paid Search</v>
      </c>
      <c r="D7" s="14">
        <v>48524</v>
      </c>
      <c r="E7" s="14">
        <v>49495</v>
      </c>
      <c r="F7" s="14">
        <v>50484</v>
      </c>
      <c r="G7" s="14">
        <v>51494</v>
      </c>
      <c r="H7" s="14">
        <v>52524</v>
      </c>
      <c r="I7" s="14">
        <v>53574</v>
      </c>
      <c r="J7" s="14">
        <v>54646</v>
      </c>
      <c r="K7" s="14">
        <v>55739</v>
      </c>
      <c r="L7" s="14">
        <v>56854</v>
      </c>
      <c r="M7" s="14">
        <v>57991</v>
      </c>
      <c r="N7" s="14">
        <v>59151</v>
      </c>
      <c r="O7" s="14">
        <v>60334</v>
      </c>
    </row>
    <row r="8" spans="1:27" x14ac:dyDescent="0.35">
      <c r="A8" t="s">
        <v>30</v>
      </c>
      <c r="C8" t="str">
        <v>Paid Social</v>
      </c>
      <c r="D8" s="14">
        <v>48524</v>
      </c>
      <c r="E8" s="14">
        <v>49495</v>
      </c>
      <c r="F8" s="14">
        <v>50484</v>
      </c>
      <c r="G8" s="14">
        <v>51494</v>
      </c>
      <c r="H8" s="14">
        <v>52524</v>
      </c>
      <c r="I8" s="14">
        <v>53574</v>
      </c>
      <c r="J8" s="14">
        <v>54646</v>
      </c>
      <c r="K8" s="14">
        <v>55739</v>
      </c>
      <c r="L8" s="14">
        <v>56854</v>
      </c>
      <c r="M8" s="14">
        <v>57991</v>
      </c>
      <c r="N8" s="14">
        <v>59151</v>
      </c>
      <c r="O8" s="14">
        <v>60334</v>
      </c>
      <c r="P8" s="14"/>
      <c r="Q8" s="14"/>
      <c r="R8" s="14"/>
    </row>
    <row r="9" spans="1:27" x14ac:dyDescent="0.35">
      <c r="A9" t="s">
        <v>30</v>
      </c>
      <c r="C9" t="str">
        <v>Affiliates</v>
      </c>
      <c r="D9" s="14">
        <v>48524</v>
      </c>
      <c r="E9" s="14">
        <v>49495</v>
      </c>
      <c r="F9" s="14">
        <v>50484</v>
      </c>
      <c r="G9" s="14">
        <v>51494</v>
      </c>
      <c r="H9" s="14">
        <v>52524</v>
      </c>
      <c r="I9" s="14">
        <v>53574</v>
      </c>
      <c r="J9" s="14">
        <v>54646</v>
      </c>
      <c r="K9" s="14">
        <v>55739</v>
      </c>
      <c r="L9" s="14">
        <v>56854</v>
      </c>
      <c r="M9" s="14">
        <v>57991</v>
      </c>
      <c r="N9" s="14">
        <v>59151</v>
      </c>
      <c r="O9" s="14">
        <v>60334</v>
      </c>
    </row>
    <row r="10" spans="1:27" x14ac:dyDescent="0.35">
      <c r="A10" t="s">
        <v>30</v>
      </c>
      <c r="C10" t="str">
        <v>Display/Other</v>
      </c>
      <c r="D10" s="14">
        <v>48524</v>
      </c>
      <c r="E10" s="14">
        <v>49495</v>
      </c>
      <c r="F10" s="14">
        <v>50484</v>
      </c>
      <c r="G10" s="14">
        <v>51494</v>
      </c>
      <c r="H10" s="14">
        <v>52524</v>
      </c>
      <c r="I10" s="14">
        <v>53574</v>
      </c>
      <c r="J10" s="14">
        <v>54646</v>
      </c>
      <c r="K10" s="14">
        <v>55739</v>
      </c>
      <c r="L10" s="14">
        <v>56854</v>
      </c>
      <c r="M10" s="14">
        <v>57991</v>
      </c>
      <c r="N10" s="14">
        <v>59151</v>
      </c>
      <c r="O10" s="14">
        <v>60334</v>
      </c>
    </row>
    <row r="11" spans="1:27" ht="15" thickBot="1" x14ac:dyDescent="0.4">
      <c r="C11" s="29" t="str">
        <v>Total</v>
      </c>
      <c r="D11" s="31">
        <v>194096</v>
      </c>
      <c r="E11" s="31">
        <v>197980</v>
      </c>
      <c r="F11" s="31">
        <v>201936</v>
      </c>
      <c r="G11" s="31">
        <v>205976</v>
      </c>
      <c r="H11" s="31">
        <v>210096</v>
      </c>
      <c r="I11" s="31">
        <v>214296</v>
      </c>
      <c r="J11" s="31">
        <v>218584</v>
      </c>
      <c r="K11" s="31">
        <v>222956</v>
      </c>
      <c r="L11" s="31">
        <v>227416</v>
      </c>
      <c r="M11" s="31">
        <v>231964</v>
      </c>
      <c r="N11" s="31">
        <v>236604</v>
      </c>
      <c r="O11" s="31">
        <v>241336</v>
      </c>
    </row>
    <row r="12" spans="1:27" ht="15" thickTop="1" x14ac:dyDescent="0.35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27" x14ac:dyDescent="0.35">
      <c r="A13" s="18"/>
      <c r="B13" s="18"/>
      <c r="C13" s="12" t="s">
        <v>39</v>
      </c>
    </row>
    <row r="14" spans="1:27" x14ac:dyDescent="0.35">
      <c r="A14" s="18" t="s">
        <v>39</v>
      </c>
      <c r="B14" s="18"/>
      <c r="C14" t="str" cm="1">
        <f t="array" ref="C14:O17">_xlfn.HSTACK(tbl_Channels[Channel],
_xlfn.LET(_xlpm.spend, ini_mktg_spend * POWER(1 + mktg_g_pct, period_number - 1) * tbl_Channels[allocation],
    _xlpm.volume, TRUNC(tbl_Channels[max] * _xlpm.spend / (_xlpm.spend + tbl_Channels[half_sat])),
    _xlpm.volume))</f>
        <v>Paid Search</v>
      </c>
      <c r="D14" s="7">
        <v>4465</v>
      </c>
      <c r="E14" s="7">
        <v>4518</v>
      </c>
      <c r="F14" s="7">
        <v>4571</v>
      </c>
      <c r="G14" s="7">
        <v>4624</v>
      </c>
      <c r="H14" s="7">
        <v>4677</v>
      </c>
      <c r="I14" s="7">
        <v>4730</v>
      </c>
      <c r="J14" s="7">
        <v>4784</v>
      </c>
      <c r="K14" s="7">
        <v>4837</v>
      </c>
      <c r="L14" s="7">
        <v>4891</v>
      </c>
      <c r="M14" s="7">
        <v>4945</v>
      </c>
      <c r="N14" s="7">
        <v>4999</v>
      </c>
      <c r="O14" s="7">
        <v>5053</v>
      </c>
    </row>
    <row r="15" spans="1:27" x14ac:dyDescent="0.35">
      <c r="A15" s="18" t="s">
        <v>39</v>
      </c>
      <c r="B15" s="18"/>
      <c r="C15" t="str">
        <v>Paid Social</v>
      </c>
      <c r="D15" s="7">
        <v>3925</v>
      </c>
      <c r="E15" s="7">
        <v>3959</v>
      </c>
      <c r="F15" s="7">
        <v>3993</v>
      </c>
      <c r="G15" s="7">
        <v>4027</v>
      </c>
      <c r="H15" s="7">
        <v>4061</v>
      </c>
      <c r="I15" s="7">
        <v>4095</v>
      </c>
      <c r="J15" s="7">
        <v>4128</v>
      </c>
      <c r="K15" s="7">
        <v>4162</v>
      </c>
      <c r="L15" s="7">
        <v>4195</v>
      </c>
      <c r="M15" s="7">
        <v>4228</v>
      </c>
      <c r="N15" s="7">
        <v>4261</v>
      </c>
      <c r="O15" s="7">
        <v>4294</v>
      </c>
    </row>
    <row r="16" spans="1:27" x14ac:dyDescent="0.35">
      <c r="A16" s="18" t="s">
        <v>39</v>
      </c>
      <c r="B16" s="18"/>
      <c r="C16" t="str">
        <v>Affiliates</v>
      </c>
      <c r="D16" s="7">
        <v>4628</v>
      </c>
      <c r="E16" s="7">
        <v>4652</v>
      </c>
      <c r="F16" s="7">
        <v>4675</v>
      </c>
      <c r="G16" s="7">
        <v>4698</v>
      </c>
      <c r="H16" s="7">
        <v>4721</v>
      </c>
      <c r="I16" s="7">
        <v>4744</v>
      </c>
      <c r="J16" s="7">
        <v>4767</v>
      </c>
      <c r="K16" s="7">
        <v>4789</v>
      </c>
      <c r="L16" s="7">
        <v>4811</v>
      </c>
      <c r="M16" s="7">
        <v>4833</v>
      </c>
      <c r="N16" s="7">
        <v>4854</v>
      </c>
      <c r="O16" s="7">
        <v>4876</v>
      </c>
    </row>
    <row r="17" spans="1:15" x14ac:dyDescent="0.35">
      <c r="A17" s="18" t="s">
        <v>39</v>
      </c>
      <c r="B17" s="18"/>
      <c r="C17" t="str">
        <v>Display/Other</v>
      </c>
      <c r="D17" s="7">
        <v>2939</v>
      </c>
      <c r="E17" s="7">
        <v>2940</v>
      </c>
      <c r="F17" s="7">
        <v>2941</v>
      </c>
      <c r="G17" s="7">
        <v>2942</v>
      </c>
      <c r="H17" s="7">
        <v>2943</v>
      </c>
      <c r="I17" s="7">
        <v>2945</v>
      </c>
      <c r="J17" s="7">
        <v>2946</v>
      </c>
      <c r="K17" s="7">
        <v>2947</v>
      </c>
      <c r="L17" s="7">
        <v>2948</v>
      </c>
      <c r="M17" s="7">
        <v>2949</v>
      </c>
      <c r="N17" s="7">
        <v>2950</v>
      </c>
      <c r="O17" s="7">
        <v>2951</v>
      </c>
    </row>
    <row r="18" spans="1:15" x14ac:dyDescent="0.35">
      <c r="A18" s="18" t="s">
        <v>39</v>
      </c>
      <c r="B18" s="18"/>
      <c r="C18" t="s">
        <v>43</v>
      </c>
      <c r="D18" s="7" cm="1">
        <f t="array" ref="D18" xml:space="preserve"> _xlfn.IFS(_xlfn.SINGLE(period_number)= 1, tbl_Organic[[adhalo_pct]:[adhalo_pct]]*SUM(D14:D17),
_xlfn.SINGLE(period_number)&lt;&gt;1, tbl_Organic[[adhalo_pct]:[adhalo_pct]]*SUM(D14:D17))</f>
        <v>1276.56</v>
      </c>
      <c r="E18" s="7" cm="1">
        <f t="array" ref="E18" xml:space="preserve"> _xlfn.IFS(_xlfn.SINGLE(period_number)= 1, tbl_Organic[[adhalo_pct]:[adhalo_pct]]*SUM(E14:E17),
_xlfn.SINGLE(period_number)&lt;&gt;1, tbl_Organic[[adhalo_pct]:[adhalo_pct]]*SUM(E14:E17))</f>
        <v>1285.52</v>
      </c>
      <c r="F18" s="7" cm="1">
        <f t="array" ref="F18" xml:space="preserve"> _xlfn.IFS(_xlfn.SINGLE(period_number)= 1, tbl_Organic[[adhalo_pct]:[adhalo_pct]]*SUM(F14:F17),
_xlfn.SINGLE(period_number)&lt;&gt;1, tbl_Organic[[adhalo_pct]:[adhalo_pct]]*SUM(F14:F17))</f>
        <v>1294.4000000000001</v>
      </c>
      <c r="G18" s="7" cm="1">
        <f t="array" ref="G18" xml:space="preserve"> _xlfn.IFS(_xlfn.SINGLE(period_number)= 1, tbl_Organic[[adhalo_pct]:[adhalo_pct]]*SUM(G14:G17),
_xlfn.SINGLE(period_number)&lt;&gt;1, tbl_Organic[[adhalo_pct]:[adhalo_pct]]*SUM(G14:G17))</f>
        <v>1303.28</v>
      </c>
      <c r="H18" s="7" cm="1">
        <f t="array" ref="H18" xml:space="preserve"> _xlfn.IFS(_xlfn.SINGLE(period_number)= 1, tbl_Organic[[adhalo_pct]:[adhalo_pct]]*SUM(H14:H17),
_xlfn.SINGLE(period_number)&lt;&gt;1, tbl_Organic[[adhalo_pct]:[adhalo_pct]]*SUM(H14:H17))</f>
        <v>1312.16</v>
      </c>
      <c r="I18" s="7" cm="1">
        <f t="array" ref="I18" xml:space="preserve"> _xlfn.IFS(_xlfn.SINGLE(period_number)= 1, tbl_Organic[[adhalo_pct]:[adhalo_pct]]*SUM(I14:I17),
_xlfn.SINGLE(period_number)&lt;&gt;1, tbl_Organic[[adhalo_pct]:[adhalo_pct]]*SUM(I14:I17))</f>
        <v>1321.1200000000001</v>
      </c>
      <c r="J18" s="7" cm="1">
        <f t="array" ref="J18" xml:space="preserve"> _xlfn.IFS(_xlfn.SINGLE(period_number)= 1, tbl_Organic[[adhalo_pct]:[adhalo_pct]]*SUM(J14:J17),
_xlfn.SINGLE(period_number)&lt;&gt;1, tbl_Organic[[adhalo_pct]:[adhalo_pct]]*SUM(J14:J17))</f>
        <v>1330</v>
      </c>
      <c r="K18" s="7" cm="1">
        <f t="array" ref="K18" xml:space="preserve"> _xlfn.IFS(_xlfn.SINGLE(period_number)= 1, tbl_Organic[[adhalo_pct]:[adhalo_pct]]*SUM(K14:K17),
_xlfn.SINGLE(period_number)&lt;&gt;1, tbl_Organic[[adhalo_pct]:[adhalo_pct]]*SUM(K14:K17))</f>
        <v>1338.8</v>
      </c>
      <c r="L18" s="7" cm="1">
        <f t="array" ref="L18" xml:space="preserve"> _xlfn.IFS(_xlfn.SINGLE(period_number)= 1, tbl_Organic[[adhalo_pct]:[adhalo_pct]]*SUM(L14:L17),
_xlfn.SINGLE(period_number)&lt;&gt;1, tbl_Organic[[adhalo_pct]:[adhalo_pct]]*SUM(L14:L17))</f>
        <v>1347.6000000000001</v>
      </c>
      <c r="M18" s="7" cm="1">
        <f t="array" ref="M18" xml:space="preserve"> _xlfn.IFS(_xlfn.SINGLE(period_number)= 1, tbl_Organic[[adhalo_pct]:[adhalo_pct]]*SUM(M14:M17),
_xlfn.SINGLE(period_number)&lt;&gt;1, tbl_Organic[[adhalo_pct]:[adhalo_pct]]*SUM(M14:M17))</f>
        <v>1356.4</v>
      </c>
      <c r="N18" s="7" cm="1">
        <f t="array" ref="N18" xml:space="preserve"> _xlfn.IFS(_xlfn.SINGLE(period_number)= 1, tbl_Organic[[adhalo_pct]:[adhalo_pct]]*SUM(N14:N17),
_xlfn.SINGLE(period_number)&lt;&gt;1, tbl_Organic[[adhalo_pct]:[adhalo_pct]]*SUM(N14:N17))</f>
        <v>1365.1200000000001</v>
      </c>
      <c r="O18" s="7" cm="1">
        <f t="array" ref="O18" xml:space="preserve"> _xlfn.IFS(_xlfn.SINGLE(period_number)= 1, tbl_Organic[[adhalo_pct]:[adhalo_pct]]*SUM(O14:O17),
_xlfn.SINGLE(period_number)&lt;&gt;1, tbl_Organic[[adhalo_pct]:[adhalo_pct]]*SUM(O14:O17))</f>
        <v>1373.92</v>
      </c>
    </row>
    <row r="19" spans="1:15" x14ac:dyDescent="0.35">
      <c r="A19" s="18" t="s">
        <v>39</v>
      </c>
      <c r="B19" s="18"/>
      <c r="C19" t="s">
        <v>44</v>
      </c>
      <c r="D19" s="7" cm="1">
        <f t="array" ref="D19" xml:space="preserve"> _xlfn.IFS(_xlfn.SINGLE(period_number)= 1, tbl_Organic[[g_pct]:[g_pct]]*SUM(tbl_Channels[ini_pop], tbl_Organic[ini_pop]),
_xlfn.SINGLE(period_number)&lt;&gt;1, tbl_Organic[[g_pct]:[g_pct]]*SUM(C23:C27))</f>
        <v>49</v>
      </c>
      <c r="E19" s="7" cm="1">
        <f t="array" ref="E19" xml:space="preserve"> _xlfn.IFS(_xlfn.SINGLE(period_number)= 1, tbl_Organic[[g_pct]:[g_pct]]*SUM(tbl_Channels[allocation], tbl_Organic[g_pct]),
_xlfn.SINGLE(period_number)&lt;&gt;1, tbl_Organic[[g_pct]:[g_pct]]*SUM(D23:D27))</f>
        <v>209.06</v>
      </c>
      <c r="F19" s="7" cm="1">
        <f t="array" ref="F19" xml:space="preserve"> _xlfn.IFS(_xlfn.SINGLE(period_number)= 1, tbl_Organic[[g_pct]:[g_pct]]*SUM(tbl_Channels[half_sat], tbl_Organic[adhalo_pct]),
_xlfn.SINGLE(period_number)&lt;&gt;1, tbl_Organic[[g_pct]:[g_pct]]*SUM(E23:E27))</f>
        <v>292.56010000000003</v>
      </c>
      <c r="G19" s="7" cm="1">
        <f t="array" ref="G19" xml:space="preserve"> _xlfn.IFS(_xlfn.SINGLE(period_number)= 1, tbl_Organic[[g_pct]:[g_pct]]*SUM(tbl_Channels[max], tbl_Organic[aov]),
_xlfn.SINGLE(period_number)&lt;&gt;1, tbl_Organic[[g_pct]:[g_pct]]*SUM(F23:F27))</f>
        <v>357.43082600000002</v>
      </c>
      <c r="H19" s="7" cm="1">
        <f t="array" ref="H19" xml:space="preserve"> _xlfn.IFS(_xlfn.SINGLE(period_number)= 1, tbl_Organic[[g_pct]:[g_pct]]*SUM(tbl_Channels[aov], tbl_Organic[activation]),
_xlfn.SINGLE(period_number)&lt;&gt;1, tbl_Organic[[g_pct]:[g_pct]]*SUM(G23:G27))</f>
        <v>408.35197801000004</v>
      </c>
      <c r="I19" s="7" cm="1">
        <f t="array" ref="I19" xml:space="preserve"> _xlfn.IFS(_xlfn.SINGLE(period_number)= 1, tbl_Organic[[g_pct]:[g_pct]]*SUM(tbl_Channels[activation], tbl_Organic[retention]),
_xlfn.SINGLE(period_number)&lt;&gt;1, tbl_Organic[[g_pct]:[g_pct]]*SUM(H23:H27))</f>
        <v>448.83363060260001</v>
      </c>
      <c r="J19" s="7" cm="1">
        <f t="array" ref="J19" xml:space="preserve"> _xlfn.IFS(_xlfn.SINGLE(period_number)= 1, tbl_Organic[[g_pct]:[g_pct]]*SUM(tbl_Channels[retention], tbl_Organic[reorder]),
_xlfn.SINGLE(period_number)&lt;&gt;1, tbl_Organic[[g_pct]:[g_pct]]*SUM(I23:I27))</f>
        <v>481.51656651800107</v>
      </c>
      <c r="K19" s="7" cm="1">
        <f t="array" ref="K19" xml:space="preserve"> _xlfn.IFS(_xlfn.SINGLE(period_number)= 1, tbl_Organic[[g_pct]:[g_pct]]*SUM(tbl_Channels[reorder], tbl_Organic[fulfillment_cost]),
_xlfn.SINGLE(period_number)&lt;&gt;1, tbl_Organic[[g_pct]:[g_pct]]*SUM(J23:J27))</f>
        <v>508.36568189021233</v>
      </c>
      <c r="L19" s="7" cm="1">
        <f t="array" ref="L19" xml:space="preserve"> _xlfn.IFS(_xlfn.SINGLE(period_number)= 1, tbl_Organic[[g_pct]:[g_pct]]*SUM(tbl_Channels[fulfillment_cost], tbl_Organic[processing_cost]),
_xlfn.SINGLE(period_number)&lt;&gt;1, tbl_Organic[[g_pct]:[g_pct]]*SUM(K23:K27))</f>
        <v>530.85480098938785</v>
      </c>
      <c r="M19" s="7" cm="1">
        <f t="array" ref="M19" xml:space="preserve"> _xlfn.IFS(_xlfn.SINGLE(period_number)= 1, tbl_Organic[[g_pct]:[g_pct]]*SUM(tbl_Channels[processing_cost], tbl_Organic[Channel]),
_xlfn.SINGLE(period_number)&lt;&gt;1, tbl_Organic[[g_pct]:[g_pct]]*SUM(L23:L27))</f>
        <v>550.09744570948681</v>
      </c>
      <c r="N19" s="7" cm="1">
        <f t="array" ref="N19" xml:space="preserve"> _xlfn.IFS(_xlfn.SINGLE(period_number)= 1, tbl_Organic[[g_pct]:[g_pct]]*SUM(tbl_Channels[Channel], tbl_Organic[ini_pop]),
_xlfn.SINGLE(period_number)&lt;&gt;1, tbl_Organic[[g_pct]:[g_pct]]*SUM(M23:M27))</f>
        <v>566.92899269923544</v>
      </c>
      <c r="O19" s="7" cm="1">
        <f t="array" ref="O19" xml:space="preserve"> _xlfn.IFS(_xlfn.SINGLE(period_number)= 1, tbl_Organic[[g_pct]:[g_pct]]*SUM(tbl_Channels[ini_pop], tbl_Organic[g_pct]),
_xlfn.SINGLE(period_number)&lt;&gt;1, tbl_Organic[[g_pct]:[g_pct]]*SUM(N23:N27))</f>
        <v>581.96821202571823</v>
      </c>
    </row>
    <row r="20" spans="1:15" ht="15" thickBot="1" x14ac:dyDescent="0.4">
      <c r="A20" s="18"/>
      <c r="B20" s="18"/>
      <c r="C20" s="29" t="s">
        <v>19</v>
      </c>
      <c r="D20" s="30">
        <f xml:space="preserve"> SUM(D14:D19)</f>
        <v>17282.560000000001</v>
      </c>
      <c r="E20" s="30">
        <f t="shared" ref="E20:O20" si="0" xml:space="preserve"> SUM(E14:E19)</f>
        <v>17563.580000000002</v>
      </c>
      <c r="F20" s="30">
        <f t="shared" si="0"/>
        <v>17766.9601</v>
      </c>
      <c r="G20" s="30">
        <f t="shared" si="0"/>
        <v>17951.710825999999</v>
      </c>
      <c r="H20" s="30">
        <f t="shared" si="0"/>
        <v>18122.511978009999</v>
      </c>
      <c r="I20" s="30">
        <f t="shared" si="0"/>
        <v>18283.953630602598</v>
      </c>
      <c r="J20" s="30">
        <f t="shared" si="0"/>
        <v>18436.516566517999</v>
      </c>
      <c r="K20" s="30">
        <f t="shared" si="0"/>
        <v>18582.165681890212</v>
      </c>
      <c r="L20" s="30">
        <f t="shared" si="0"/>
        <v>18723.454800989388</v>
      </c>
      <c r="M20" s="30">
        <f t="shared" si="0"/>
        <v>18861.497445709487</v>
      </c>
      <c r="N20" s="30">
        <f t="shared" si="0"/>
        <v>18996.048992699234</v>
      </c>
      <c r="O20" s="30">
        <f t="shared" si="0"/>
        <v>19129.888212025715</v>
      </c>
    </row>
    <row r="21" spans="1:15" ht="15" thickTop="1" x14ac:dyDescent="0.35"/>
    <row r="22" spans="1:15" x14ac:dyDescent="0.35">
      <c r="C22" s="8" t="s">
        <v>45</v>
      </c>
    </row>
    <row r="23" spans="1:15" x14ac:dyDescent="0.35">
      <c r="A23" t="s">
        <v>45</v>
      </c>
      <c r="C23" t="str" cm="1">
        <f t="array" ref="C23:C26" xml:space="preserve"> tbl_Channels[Channel]</f>
        <v>Paid Search</v>
      </c>
      <c r="D23" s="7" cm="1">
        <f t="array" ref="D23">_xlfn.IFS(_xlfn.SINGLE(period_number)=1,_xlfn.XLOOKUP($C23,tbl_Channels[Channel],tbl_Channels[ini_pop])+_xlfn.XLOOKUP($C23,$C$14:$C$17,D$14:D$17),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C23,
_xlpm.new, _xlfn.XLOOKUP($C23, $C$14:$C$17, D$14:D$17),
_xlpm.preceeding*_xlpm.retained_pct+_xlpm.new*_xlpm.activated_pct))</f>
        <v>5465</v>
      </c>
      <c r="E23" s="7" cm="1">
        <f t="array" ref="E23">_xlfn.IFS(_xlfn.SINGLE(period_number)=1,_xlfn.XLOOKUP($C23,tbl_Channels[ini_pop],tbl_Channels[allocation])+_xlfn.XLOOKUP($C23,$C$14:$C$17,E$14:E$17),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D23,
_xlpm.new, _xlfn.XLOOKUP($C23, $C$14:$C$17, E$14:E$17),
_xlpm.preceeding*_xlpm.retained_pct+_xlpm.new*_xlpm.activated_pct))</f>
        <v>7713.15</v>
      </c>
      <c r="F23" s="7" cm="1">
        <f t="array" ref="F23">_xlfn.IFS(_xlfn.SINGLE(period_number)=1,_xlfn.XLOOKUP($C23,tbl_Channels[allocation],tbl_Channels[half_sat])+_xlfn.XLOOKUP($C23,$C$14:$C$17,F$14:F$17),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E23,
_xlpm.new, _xlfn.XLOOKUP($C23, $C$14:$C$17, F$14:F$17),
_xlpm.preceeding*_xlpm.retained_pct+_xlpm.new*_xlpm.activated_pct))</f>
        <v>9441.6624999999985</v>
      </c>
      <c r="G23" s="7" cm="1">
        <f t="array" ref="G23">_xlfn.IFS(_xlfn.SINGLE(period_number)=1,_xlfn.XLOOKUP($C23,tbl_Channels[half_sat],tbl_Channels[max])+_xlfn.XLOOKUP($C23,$C$14:$C$17,G$14:G$17),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F23,
_xlpm.new, _xlfn.XLOOKUP($C23, $C$14:$C$17, G$14:G$17),
_xlpm.preceeding*_xlpm.retained_pct+_xlpm.new*_xlpm.activated_pct))</f>
        <v>10780.446875</v>
      </c>
      <c r="H23" s="7" cm="1">
        <f t="array" ref="H23">_xlfn.IFS(_xlfn.SINGLE(period_number)=1,_xlfn.XLOOKUP($C23,tbl_Channels[max],tbl_Channels[aov])+_xlfn.XLOOKUP($C23,$C$14:$C$17,H$14:H$17),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G23,
_xlpm.new, _xlfn.XLOOKUP($C23, $C$14:$C$17, H$14:H$17),
_xlpm.preceeding*_xlpm.retained_pct+_xlpm.new*_xlpm.activated_pct))</f>
        <v>11826.93515625</v>
      </c>
      <c r="I23" s="7" cm="1">
        <f t="array" ref="I23">_xlfn.IFS(_xlfn.SINGLE(period_number)=1,_xlfn.XLOOKUP($C23,tbl_Channels[aov],tbl_Channels[activation])+_xlfn.XLOOKUP($C23,$C$14:$C$17,I$14:I$17),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H23,
_xlpm.new, _xlfn.XLOOKUP($C23, $C$14:$C$17, I$14:I$17),
_xlpm.preceeding*_xlpm.retained_pct+_xlpm.new*_xlpm.activated_pct))</f>
        <v>12654.201367187499</v>
      </c>
      <c r="J23" s="7" cm="1">
        <f t="array" ref="J23">_xlfn.IFS(_xlfn.SINGLE(period_number)=1,_xlfn.XLOOKUP($C23,tbl_Channels[activation],tbl_Channels[retention])+_xlfn.XLOOKUP($C23,$C$14:$C$17,J$14:J$17),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I23,
_xlpm.new, _xlfn.XLOOKUP($C23, $C$14:$C$17, J$14:J$17),
_xlpm.preceeding*_xlpm.retained_pct+_xlpm.new*_xlpm.activated_pct))</f>
        <v>13317.851025390624</v>
      </c>
      <c r="K23" s="7" cm="1">
        <f t="array" ref="K23">_xlfn.IFS(_xlfn.SINGLE(period_number)=1,_xlfn.XLOOKUP($C23,tbl_Channels[retention],tbl_Channels[reorder])+_xlfn.XLOOKUP($C23,$C$14:$C$17,K$14:K$17),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J23,
_xlpm.new, _xlfn.XLOOKUP($C23, $C$14:$C$17, K$14:K$17),
_xlpm.preceeding*_xlpm.retained_pct+_xlpm.new*_xlpm.activated_pct))</f>
        <v>13857.988269042968</v>
      </c>
      <c r="L23" s="7" cm="1">
        <f t="array" ref="L23">_xlfn.IFS(_xlfn.SINGLE(period_number)=1,_xlfn.XLOOKUP($C23,tbl_Channels[reorder],tbl_Channels[fulfillment_cost])+_xlfn.XLOOKUP($C23,$C$14:$C$17,L$14:L$17),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K23,
_xlpm.new, _xlfn.XLOOKUP($C23, $C$14:$C$17, L$14:L$17),
_xlpm.preceeding*_xlpm.retained_pct+_xlpm.new*_xlpm.activated_pct))</f>
        <v>14306.291201782227</v>
      </c>
      <c r="M23" s="7" cm="1">
        <f t="array" ref="M23">_xlfn.IFS(_xlfn.SINGLE(period_number)=1,_xlfn.XLOOKUP($C23,tbl_Channels[fulfillment_cost],tbl_Channels[processing_cost])+_xlfn.XLOOKUP($C23,$C$14:$C$17,M$14:M$17),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L23,
_xlpm.new, _xlfn.XLOOKUP($C23, $C$14:$C$17, M$14:M$17),
_xlpm.preceeding*_xlpm.retained_pct+_xlpm.new*_xlpm.activated_pct))</f>
        <v>14685.718401336671</v>
      </c>
      <c r="N23" s="7" cm="1">
        <f t="array" ref="N23">_xlfn.IFS(_xlfn.SINGLE(period_number)=1,_xlfn.XLOOKUP($C23,tbl_Channels[processing_cost],tbl_Channels[Channel])+_xlfn.XLOOKUP($C23,$C$14:$C$17,N$14:N$17),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M23,
_xlpm.new, _xlfn.XLOOKUP($C23, $C$14:$C$17, N$14:N$17),
_xlpm.preceeding*_xlpm.retained_pct+_xlpm.new*_xlpm.activated_pct))</f>
        <v>15013.488801002504</v>
      </c>
      <c r="O23" s="7" cm="1">
        <f t="array" ref="O23">_xlfn.IFS(_xlfn.SINGLE(period_number)=1,_xlfn.XLOOKUP($C23,tbl_Channels[Channel],tbl_Channels[ini_pop])+_xlfn.XLOOKUP($C23,$C$14:$C$17,O$14:O$17),
_xlfn.SINGLE(period_number)&lt;&gt;1,_xlfn.LET(
_xlpm.retained_pct, _xlfn.XLOOKUP($C23, tbl_Channels[[Channel]:[Channel]], tbl_Channels[[retention]:[retention]]),
_xlpm.activated_pct, _xlfn.XLOOKUP($C23, tbl_Channels[[Channel]:[Channel]], tbl_Channels[[activation]:[activation]]),
_xlpm.preceeding, N23,
_xlpm.new, _xlfn.XLOOKUP($C23, $C$14:$C$17, O$14:O$17),
_xlpm.preceeding*_xlpm.retained_pct+_xlpm.new*_xlpm.activated_pct))</f>
        <v>15302.516600751878</v>
      </c>
    </row>
    <row r="24" spans="1:15" x14ac:dyDescent="0.35">
      <c r="A24" t="s">
        <v>45</v>
      </c>
      <c r="C24" t="str">
        <v>Paid Social</v>
      </c>
      <c r="D24" s="7" cm="1">
        <f t="array" ref="D24">_xlfn.IFS(_xlfn.SINGLE(period_number)=1,_xlfn.XLOOKUP($C24,tbl_Channels[Channel],tbl_Channels[ini_pop])+_xlfn.XLOOKUP($C24,$C$14:$C$17,D$14:D$17),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C24,
_xlpm.new, _xlfn.XLOOKUP($C24, $C$14:$C$17, D$14:D$17),
_xlpm.preceeding*_xlpm.retained_pct+_xlpm.new*_xlpm.activated_pct))</f>
        <v>4825</v>
      </c>
      <c r="E24" s="7" cm="1">
        <f t="array" ref="E24">_xlfn.IFS(_xlfn.SINGLE(period_number)=1,_xlfn.XLOOKUP($C24,tbl_Channels[ini_pop],tbl_Channels[allocation])+_xlfn.XLOOKUP($C24,$C$14:$C$17,E$14:E$17),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D24,
_xlpm.new, _xlfn.XLOOKUP($C24, $C$14:$C$17, E$14:E$17),
_xlpm.preceeding*_xlpm.retained_pct+_xlpm.new*_xlpm.activated_pct))</f>
        <v>6785.9500000000007</v>
      </c>
      <c r="F24" s="7" cm="1">
        <f t="array" ref="F24">_xlfn.IFS(_xlfn.SINGLE(period_number)=1,_xlfn.XLOOKUP($C24,tbl_Channels[allocation],tbl_Channels[half_sat])+_xlfn.XLOOKUP($C24,$C$14:$C$17,F$14:F$17),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E24,
_xlpm.new, _xlfn.XLOOKUP($C24, $C$14:$C$17, F$14:F$17),
_xlpm.preceeding*_xlpm.retained_pct+_xlpm.new*_xlpm.activated_pct))</f>
        <v>8283.8625000000011</v>
      </c>
      <c r="G24" s="7" cm="1">
        <f t="array" ref="G24">_xlfn.IFS(_xlfn.SINGLE(period_number)=1,_xlfn.XLOOKUP($C24,tbl_Channels[half_sat],tbl_Channels[max])+_xlfn.XLOOKUP($C24,$C$14:$C$17,G$14:G$17),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F24,
_xlpm.new, _xlfn.XLOOKUP($C24, $C$14:$C$17, G$14:G$17),
_xlpm.preceeding*_xlpm.retained_pct+_xlpm.new*_xlpm.activated_pct))</f>
        <v>9434.4968750000007</v>
      </c>
      <c r="H24" s="7" cm="1">
        <f t="array" ref="H24">_xlfn.IFS(_xlfn.SINGLE(period_number)=1,_xlfn.XLOOKUP($C24,tbl_Channels[max],tbl_Channels[aov])+_xlfn.XLOOKUP($C24,$C$14:$C$17,H$14:H$17),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G24,
_xlpm.new, _xlfn.XLOOKUP($C24, $C$14:$C$17, H$14:H$17),
_xlpm.preceeding*_xlpm.retained_pct+_xlpm.new*_xlpm.activated_pct))</f>
        <v>10324.672656250001</v>
      </c>
      <c r="I24" s="7" cm="1">
        <f t="array" ref="I24">_xlfn.IFS(_xlfn.SINGLE(period_number)=1,_xlfn.XLOOKUP($C24,tbl_Channels[aov],tbl_Channels[activation])+_xlfn.XLOOKUP($C24,$C$14:$C$17,I$14:I$17),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H24,
_xlpm.new, _xlfn.XLOOKUP($C24, $C$14:$C$17, I$14:I$17),
_xlpm.preceeding*_xlpm.retained_pct+_xlpm.new*_xlpm.activated_pct))</f>
        <v>11019.504492187501</v>
      </c>
      <c r="J24" s="7" cm="1">
        <f t="array" ref="J24">_xlfn.IFS(_xlfn.SINGLE(period_number)=1,_xlfn.XLOOKUP($C24,tbl_Channels[activation],tbl_Channels[retention])+_xlfn.XLOOKUP($C24,$C$14:$C$17,J$14:J$17),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I24,
_xlpm.new, _xlfn.XLOOKUP($C24, $C$14:$C$17, J$14:J$17),
_xlpm.preceeding*_xlpm.retained_pct+_xlpm.new*_xlpm.activated_pct))</f>
        <v>11567.028369140626</v>
      </c>
      <c r="K24" s="7" cm="1">
        <f t="array" ref="K24">_xlfn.IFS(_xlfn.SINGLE(period_number)=1,_xlfn.XLOOKUP($C24,tbl_Channels[retention],tbl_Channels[reorder])+_xlfn.XLOOKUP($C24,$C$14:$C$17,K$14:K$17),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J24,
_xlpm.new, _xlfn.XLOOKUP($C24, $C$14:$C$17, K$14:K$17),
_xlpm.preceeding*_xlpm.retained_pct+_xlpm.new*_xlpm.activated_pct))</f>
        <v>12004.871276855471</v>
      </c>
      <c r="L24" s="7" cm="1">
        <f t="array" ref="L24">_xlfn.IFS(_xlfn.SINGLE(period_number)=1,_xlfn.XLOOKUP($C24,tbl_Channels[reorder],tbl_Channels[fulfillment_cost])+_xlfn.XLOOKUP($C24,$C$14:$C$17,L$14:L$17),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K24,
_xlpm.new, _xlfn.XLOOKUP($C24, $C$14:$C$17, L$14:L$17),
_xlpm.preceeding*_xlpm.retained_pct+_xlpm.new*_xlpm.activated_pct))</f>
        <v>12359.653457641603</v>
      </c>
      <c r="M24" s="7" cm="1">
        <f t="array" ref="M24">_xlfn.IFS(_xlfn.SINGLE(period_number)=1,_xlfn.XLOOKUP($C24,tbl_Channels[fulfillment_cost],tbl_Channels[processing_cost])+_xlfn.XLOOKUP($C24,$C$14:$C$17,M$14:M$17),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L24,
_xlpm.new, _xlfn.XLOOKUP($C24, $C$14:$C$17, M$14:M$17),
_xlpm.preceeding*_xlpm.retained_pct+_xlpm.new*_xlpm.activated_pct))</f>
        <v>12652.140093231203</v>
      </c>
      <c r="N24" s="7" cm="1">
        <f t="array" ref="N24">_xlfn.IFS(_xlfn.SINGLE(period_number)=1,_xlfn.XLOOKUP($C24,tbl_Channels[processing_cost],tbl_Channels[Channel])+_xlfn.XLOOKUP($C24,$C$14:$C$17,N$14:N$17),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M24,
_xlpm.new, _xlfn.XLOOKUP($C24, $C$14:$C$17, N$14:N$17),
_xlpm.preceeding*_xlpm.retained_pct+_xlpm.new*_xlpm.activated_pct))</f>
        <v>12897.905069923403</v>
      </c>
      <c r="O24" s="7" cm="1">
        <f t="array" ref="O24">_xlfn.IFS(_xlfn.SINGLE(period_number)=1,_xlfn.XLOOKUP($C24,tbl_Channels[Channel],tbl_Channels[ini_pop])+_xlfn.XLOOKUP($C24,$C$14:$C$17,O$14:O$17),
_xlfn.SINGLE(period_number)&lt;&gt;1,_xlfn.LET(
_xlpm.retained_pct, _xlfn.XLOOKUP($C24, tbl_Channels[[Channel]:[Channel]], tbl_Channels[[retention]:[retention]]),
_xlpm.activated_pct, _xlfn.XLOOKUP($C24, tbl_Channels[[Channel]:[Channel]], tbl_Channels[[activation]:[activation]]),
_xlpm.preceeding, N24,
_xlpm.new, _xlfn.XLOOKUP($C24, $C$14:$C$17, O$14:O$17),
_xlpm.preceeding*_xlpm.retained_pct+_xlpm.new*_xlpm.activated_pct))</f>
        <v>13108.628802442552</v>
      </c>
    </row>
    <row r="25" spans="1:15" x14ac:dyDescent="0.35">
      <c r="A25" t="s">
        <v>45</v>
      </c>
      <c r="C25" t="str">
        <v>Affiliates</v>
      </c>
      <c r="D25" s="7" cm="1">
        <f t="array" ref="D25">_xlfn.IFS(_xlfn.SINGLE(period_number)=1,_xlfn.XLOOKUP($C25,tbl_Channels[Channel],tbl_Channels[ini_pop])+_xlfn.XLOOKUP($C25,$C$14:$C$17,D$14:D$17),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C25,
_xlpm.new, _xlfn.XLOOKUP($C25, $C$14:$C$17, D$14:D$17),
_xlpm.preceeding*_xlpm.retained_pct+_xlpm.new*_xlpm.activated_pct))</f>
        <v>5428</v>
      </c>
      <c r="E25" s="7" cm="1">
        <f t="array" ref="E25">_xlfn.IFS(_xlfn.SINGLE(period_number)=1,_xlfn.XLOOKUP($C25,tbl_Channels[ini_pop],tbl_Channels[allocation])+_xlfn.XLOOKUP($C25,$C$14:$C$17,E$14:E$17),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D25,
_xlpm.new, _xlfn.XLOOKUP($C25, $C$14:$C$17, E$14:E$17),
_xlpm.preceeding*_xlpm.retained_pct+_xlpm.new*_xlpm.activated_pct))</f>
        <v>7792.6</v>
      </c>
      <c r="F25" s="7" cm="1">
        <f t="array" ref="F25">_xlfn.IFS(_xlfn.SINGLE(period_number)=1,_xlfn.XLOOKUP($C25,tbl_Channels[allocation],tbl_Channels[half_sat])+_xlfn.XLOOKUP($C25,$C$14:$C$17,F$14:F$17),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E25,
_xlpm.new, _xlfn.XLOOKUP($C25, $C$14:$C$17, F$14:F$17),
_xlpm.preceeding*_xlpm.retained_pct+_xlpm.new*_xlpm.activated_pct))</f>
        <v>9584.4500000000007</v>
      </c>
      <c r="G25" s="7" cm="1">
        <f t="array" ref="G25">_xlfn.IFS(_xlfn.SINGLE(period_number)=1,_xlfn.XLOOKUP($C25,tbl_Channels[half_sat],tbl_Channels[max])+_xlfn.XLOOKUP($C25,$C$14:$C$17,G$14:G$17),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F25,
_xlpm.new, _xlfn.XLOOKUP($C25, $C$14:$C$17, G$14:G$17),
_xlpm.preceeding*_xlpm.retained_pct+_xlpm.new*_xlpm.activated_pct))</f>
        <v>10946.737500000001</v>
      </c>
      <c r="H25" s="7" cm="1">
        <f t="array" ref="H25">_xlfn.IFS(_xlfn.SINGLE(period_number)=1,_xlfn.XLOOKUP($C25,tbl_Channels[max],tbl_Channels[aov])+_xlfn.XLOOKUP($C25,$C$14:$C$17,H$14:H$17),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G25,
_xlpm.new, _xlfn.XLOOKUP($C25, $C$14:$C$17, H$14:H$17),
_xlpm.preceeding*_xlpm.retained_pct+_xlpm.new*_xlpm.activated_pct))</f>
        <v>11986.853125000001</v>
      </c>
      <c r="I25" s="7" cm="1">
        <f t="array" ref="I25">_xlfn.IFS(_xlfn.SINGLE(period_number)=1,_xlfn.XLOOKUP($C25,tbl_Channels[aov],tbl_Channels[activation])+_xlfn.XLOOKUP($C25,$C$14:$C$17,I$14:I$17),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H25,
_xlpm.new, _xlfn.XLOOKUP($C25, $C$14:$C$17, I$14:I$17),
_xlpm.preceeding*_xlpm.retained_pct+_xlpm.new*_xlpm.activated_pct))</f>
        <v>12785.339843750002</v>
      </c>
      <c r="J25" s="7" cm="1">
        <f t="array" ref="J25">_xlfn.IFS(_xlfn.SINGLE(period_number)=1,_xlfn.XLOOKUP($C25,tbl_Channels[activation],tbl_Channels[retention])+_xlfn.XLOOKUP($C25,$C$14:$C$17,J$14:J$17),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I25,
_xlpm.new, _xlfn.XLOOKUP($C25, $C$14:$C$17, J$14:J$17),
_xlpm.preceeding*_xlpm.retained_pct+_xlpm.new*_xlpm.activated_pct))</f>
        <v>13402.604882812502</v>
      </c>
      <c r="K25" s="7" cm="1">
        <f t="array" ref="K25">_xlfn.IFS(_xlfn.SINGLE(period_number)=1,_xlfn.XLOOKUP($C25,tbl_Channels[retention],tbl_Channels[reorder])+_xlfn.XLOOKUP($C25,$C$14:$C$17,K$14:K$17),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J25,
_xlpm.new, _xlfn.XLOOKUP($C25, $C$14:$C$17, K$14:K$17),
_xlpm.preceeding*_xlpm.retained_pct+_xlpm.new*_xlpm.activated_pct))</f>
        <v>13883.153662109376</v>
      </c>
      <c r="L25" s="7" cm="1">
        <f t="array" ref="L25">_xlfn.IFS(_xlfn.SINGLE(period_number)=1,_xlfn.XLOOKUP($C25,tbl_Channels[reorder],tbl_Channels[fulfillment_cost])+_xlfn.XLOOKUP($C25,$C$14:$C$17,L$14:L$17),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K25,
_xlpm.new, _xlfn.XLOOKUP($C25, $C$14:$C$17, L$14:L$17),
_xlpm.preceeding*_xlpm.retained_pct+_xlpm.new*_xlpm.activated_pct))</f>
        <v>14261.165246582033</v>
      </c>
      <c r="M25" s="7" cm="1">
        <f t="array" ref="M25">_xlfn.IFS(_xlfn.SINGLE(period_number)=1,_xlfn.XLOOKUP($C25,tbl_Channels[fulfillment_cost],tbl_Channels[processing_cost])+_xlfn.XLOOKUP($C25,$C$14:$C$17,M$14:M$17),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L25,
_xlpm.new, _xlfn.XLOOKUP($C25, $C$14:$C$17, M$14:M$17),
_xlpm.preceeding*_xlpm.retained_pct+_xlpm.new*_xlpm.activated_pct))</f>
        <v>14562.273934936524</v>
      </c>
      <c r="N25" s="7" cm="1">
        <f t="array" ref="N25">_xlfn.IFS(_xlfn.SINGLE(period_number)=1,_xlfn.XLOOKUP($C25,tbl_Channels[processing_cost],tbl_Channels[Channel])+_xlfn.XLOOKUP($C25,$C$14:$C$17,N$14:N$17),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M25,
_xlpm.new, _xlfn.XLOOKUP($C25, $C$14:$C$17, N$14:N$17),
_xlpm.preceeding*_xlpm.retained_pct+_xlpm.new*_xlpm.activated_pct))</f>
        <v>14804.905451202394</v>
      </c>
      <c r="O25" s="7" cm="1">
        <f t="array" ref="O25">_xlfn.IFS(_xlfn.SINGLE(period_number)=1,_xlfn.XLOOKUP($C25,tbl_Channels[Channel],tbl_Channels[ini_pop])+_xlfn.XLOOKUP($C25,$C$14:$C$17,O$14:O$17),
_xlfn.SINGLE(period_number)&lt;&gt;1,_xlfn.LET(
_xlpm.retained_pct, _xlfn.XLOOKUP($C25, tbl_Channels[[Channel]:[Channel]], tbl_Channels[[retention]:[retention]]),
_xlpm.activated_pct, _xlfn.XLOOKUP($C25, tbl_Channels[[Channel]:[Channel]], tbl_Channels[[activation]:[activation]]),
_xlpm.preceeding, N25,
_xlpm.new, _xlfn.XLOOKUP($C25, $C$14:$C$17, O$14:O$17),
_xlpm.preceeding*_xlpm.retained_pct+_xlpm.new*_xlpm.activated_pct))</f>
        <v>15004.479088401797</v>
      </c>
    </row>
    <row r="26" spans="1:15" x14ac:dyDescent="0.35">
      <c r="A26" t="s">
        <v>45</v>
      </c>
      <c r="C26" t="str">
        <v>Display/Other</v>
      </c>
      <c r="D26" s="7" cm="1">
        <f t="array" ref="D26">_xlfn.IFS(_xlfn.SINGLE(period_number)=1,_xlfn.XLOOKUP($C26,tbl_Channels[Channel],tbl_Channels[ini_pop])+_xlfn.XLOOKUP($C26,$C$14:$C$17,D$14:D$17),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C26,
_xlpm.new, _xlfn.XLOOKUP($C26, $C$14:$C$17, D$14:D$17),
_xlpm.preceeding*_xlpm.retained_pct+_xlpm.new*_xlpm.activated_pct))</f>
        <v>3139</v>
      </c>
      <c r="E26" s="7" cm="1">
        <f t="array" ref="E26">_xlfn.IFS(_xlfn.SINGLE(period_number)=1,_xlfn.XLOOKUP($C26,tbl_Channels[ini_pop],tbl_Channels[allocation])+_xlfn.XLOOKUP($C26,$C$14:$C$17,E$14:E$17),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D26,
_xlpm.new, _xlfn.XLOOKUP($C26, $C$14:$C$17, E$14:E$17),
_xlpm.preceeding*_xlpm.retained_pct+_xlpm.new*_xlpm.activated_pct))</f>
        <v>4706.25</v>
      </c>
      <c r="F26" s="7" cm="1">
        <f t="array" ref="F26">_xlfn.IFS(_xlfn.SINGLE(period_number)=1,_xlfn.XLOOKUP($C26,tbl_Channels[allocation],tbl_Channels[half_sat])+_xlfn.XLOOKUP($C26,$C$14:$C$17,F$14:F$17),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E26,
_xlpm.new, _xlfn.XLOOKUP($C26, $C$14:$C$17, F$14:F$17),
_xlpm.preceeding*_xlpm.retained_pct+_xlpm.new*_xlpm.activated_pct))</f>
        <v>5882.4875000000002</v>
      </c>
      <c r="G26" s="7" cm="1">
        <f t="array" ref="G26">_xlfn.IFS(_xlfn.SINGLE(period_number)=1,_xlfn.XLOOKUP($C26,tbl_Channels[half_sat],tbl_Channels[max])+_xlfn.XLOOKUP($C26,$C$14:$C$17,G$14:G$17),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F26,
_xlpm.new, _xlfn.XLOOKUP($C26, $C$14:$C$17, G$14:G$17),
_xlpm.preceeding*_xlpm.retained_pct+_xlpm.new*_xlpm.activated_pct))</f>
        <v>6765.4656250000007</v>
      </c>
      <c r="H26" s="7" cm="1">
        <f t="array" ref="H26">_xlfn.IFS(_xlfn.SINGLE(period_number)=1,_xlfn.XLOOKUP($C26,tbl_Channels[max],tbl_Channels[aov])+_xlfn.XLOOKUP($C26,$C$14:$C$17,H$14:H$17),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G26,
_xlpm.new, _xlfn.XLOOKUP($C26, $C$14:$C$17, H$14:H$17),
_xlpm.preceeding*_xlpm.retained_pct+_xlpm.new*_xlpm.activated_pct))</f>
        <v>7428.4992187500011</v>
      </c>
      <c r="I26" s="7" cm="1">
        <f t="array" ref="I26">_xlfn.IFS(_xlfn.SINGLE(period_number)=1,_xlfn.XLOOKUP($C26,tbl_Channels[aov],tbl_Channels[activation])+_xlfn.XLOOKUP($C26,$C$14:$C$17,I$14:I$17),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H26,
_xlpm.new, _xlfn.XLOOKUP($C26, $C$14:$C$17, I$14:I$17),
_xlpm.preceeding*_xlpm.retained_pct+_xlpm.new*_xlpm.activated_pct))</f>
        <v>7927.3744140625004</v>
      </c>
      <c r="J26" s="7" cm="1">
        <f t="array" ref="J26">_xlfn.IFS(_xlfn.SINGLE(period_number)=1,_xlfn.XLOOKUP($C26,tbl_Channels[activation],tbl_Channels[retention])+_xlfn.XLOOKUP($C26,$C$14:$C$17,J$14:J$17),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I26,
_xlpm.new, _xlfn.XLOOKUP($C26, $C$14:$C$17, J$14:J$17),
_xlpm.preceeding*_xlpm.retained_pct+_xlpm.new*_xlpm.activated_pct))</f>
        <v>8302.330810546875</v>
      </c>
      <c r="K26" s="7" cm="1">
        <f t="array" ref="K26">_xlfn.IFS(_xlfn.SINGLE(period_number)=1,_xlfn.XLOOKUP($C26,tbl_Channels[retention],tbl_Channels[reorder])+_xlfn.XLOOKUP($C26,$C$14:$C$17,K$14:K$17),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J26,
_xlpm.new, _xlfn.XLOOKUP($C26, $C$14:$C$17, K$14:K$17),
_xlpm.preceeding*_xlpm.retained_pct+_xlpm.new*_xlpm.activated_pct))</f>
        <v>8584.3481079101566</v>
      </c>
      <c r="L26" s="7" cm="1">
        <f t="array" ref="L26">_xlfn.IFS(_xlfn.SINGLE(period_number)=1,_xlfn.XLOOKUP($C26,tbl_Channels[reorder],tbl_Channels[fulfillment_cost])+_xlfn.XLOOKUP($C26,$C$14:$C$17,L$14:L$17),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K26,
_xlpm.new, _xlfn.XLOOKUP($C26, $C$14:$C$17, L$14:L$17),
_xlpm.preceeding*_xlpm.retained_pct+_xlpm.new*_xlpm.activated_pct))</f>
        <v>8796.6610809326176</v>
      </c>
      <c r="M26" s="7" cm="1">
        <f t="array" ref="M26">_xlfn.IFS(_xlfn.SINGLE(period_number)=1,_xlfn.XLOOKUP($C26,tbl_Channels[fulfillment_cost],tbl_Channels[processing_cost])+_xlfn.XLOOKUP($C26,$C$14:$C$17,M$14:M$17),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L26,
_xlpm.new, _xlfn.XLOOKUP($C26, $C$14:$C$17, M$14:M$17),
_xlpm.preceeding*_xlpm.retained_pct+_xlpm.new*_xlpm.activated_pct))</f>
        <v>8956.6958106994643</v>
      </c>
      <c r="N26" s="7" cm="1">
        <f t="array" ref="N26">_xlfn.IFS(_xlfn.SINGLE(period_number)=1,_xlfn.XLOOKUP($C26,tbl_Channels[processing_cost],tbl_Channels[Channel])+_xlfn.XLOOKUP($C26,$C$14:$C$17,N$14:N$17),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M26,
_xlpm.new, _xlfn.XLOOKUP($C26, $C$14:$C$17, N$14:N$17),
_xlpm.preceeding*_xlpm.retained_pct+_xlpm.new*_xlpm.activated_pct))</f>
        <v>9077.5218580245983</v>
      </c>
      <c r="O26" s="7" cm="1">
        <f t="array" ref="O26">_xlfn.IFS(_xlfn.SINGLE(period_number)=1,_xlfn.XLOOKUP($C26,tbl_Channels[Channel],tbl_Channels[ini_pop])+_xlfn.XLOOKUP($C26,$C$14:$C$17,O$14:O$17),
_xlfn.SINGLE(period_number)&lt;&gt;1,_xlfn.LET(
_xlpm.retained_pct, _xlfn.XLOOKUP($C26, tbl_Channels[[Channel]:[Channel]], tbl_Channels[[retention]:[retention]]),
_xlpm.activated_pct, _xlfn.XLOOKUP($C26, tbl_Channels[[Channel]:[Channel]], tbl_Channels[[activation]:[activation]]),
_xlpm.preceeding, N26,
_xlpm.new, _xlfn.XLOOKUP($C26, $C$14:$C$17, O$14:O$17),
_xlpm.preceeding*_xlpm.retained_pct+_xlpm.new*_xlpm.activated_pct))</f>
        <v>9168.9413935184493</v>
      </c>
    </row>
    <row r="27" spans="1:15" x14ac:dyDescent="0.35">
      <c r="A27" t="s">
        <v>45</v>
      </c>
      <c r="C27" t="s">
        <v>20</v>
      </c>
      <c r="D27" s="7" cm="1">
        <f t="array" ref="D27" xml:space="preserve"> _xlfn.IFS(_xlfn.SINGLE(period_number)=1, tbl_Organic[[ini_pop]:[ini_pop]]+D19,
_xlfn.SINGLE(period_number)&lt;&gt;1, C27+D19)</f>
        <v>2049</v>
      </c>
      <c r="E27" s="7" cm="1">
        <f t="array" ref="E27" xml:space="preserve"> _xlfn.IFS(_xlfn.SINGLE(period_number)=1, tbl_Organic[[ini_pop]:[ini_pop]]+E19,
_xlfn.SINGLE(period_number)&lt;&gt;1, D27+E19)</f>
        <v>2258.06</v>
      </c>
      <c r="F27" s="7" cm="1">
        <f t="array" ref="F27" xml:space="preserve"> _xlfn.IFS(_xlfn.SINGLE(period_number)=1, tbl_Organic[[ini_pop]:[ini_pop]]+F19,
_xlfn.SINGLE(period_number)&lt;&gt;1, E27+F19)</f>
        <v>2550.6201000000001</v>
      </c>
      <c r="G27" s="7" cm="1">
        <f t="array" ref="G27" xml:space="preserve"> _xlfn.IFS(_xlfn.SINGLE(period_number)=1, tbl_Organic[[ini_pop]:[ini_pop]]+G19,
_xlfn.SINGLE(period_number)&lt;&gt;1, F27+G19)</f>
        <v>2908.0509259999999</v>
      </c>
      <c r="H27" s="7" cm="1">
        <f t="array" ref="H27" xml:space="preserve"> _xlfn.IFS(_xlfn.SINGLE(period_number)=1, tbl_Organic[[ini_pop]:[ini_pop]]+H19,
_xlfn.SINGLE(period_number)&lt;&gt;1, G27+H19)</f>
        <v>3316.4029040099999</v>
      </c>
      <c r="I27" s="7" cm="1">
        <f t="array" ref="I27" xml:space="preserve"> _xlfn.IFS(_xlfn.SINGLE(period_number)=1, tbl_Organic[[ini_pop]:[ini_pop]]+I19,
_xlfn.SINGLE(period_number)&lt;&gt;1, H27+I19)</f>
        <v>3765.2365346125998</v>
      </c>
      <c r="J27" s="7" cm="1">
        <f t="array" ref="J27" xml:space="preserve"> _xlfn.IFS(_xlfn.SINGLE(period_number)=1, tbl_Organic[[ini_pop]:[ini_pop]]+J19,
_xlfn.SINGLE(period_number)&lt;&gt;1, I27+J19)</f>
        <v>4246.753101130601</v>
      </c>
      <c r="K27" s="7" cm="1">
        <f t="array" ref="K27" xml:space="preserve"> _xlfn.IFS(_xlfn.SINGLE(period_number)=1, tbl_Organic[[ini_pop]:[ini_pop]]+K19,
_xlfn.SINGLE(period_number)&lt;&gt;1, J27+K19)</f>
        <v>4755.1187830208137</v>
      </c>
      <c r="L27" s="7" cm="1">
        <f t="array" ref="L27" xml:space="preserve"> _xlfn.IFS(_xlfn.SINGLE(period_number)=1, tbl_Organic[[ini_pop]:[ini_pop]]+L19,
_xlfn.SINGLE(period_number)&lt;&gt;1, K27+L19)</f>
        <v>5285.9735840102012</v>
      </c>
      <c r="M27" s="7" cm="1">
        <f t="array" ref="M27" xml:space="preserve"> _xlfn.IFS(_xlfn.SINGLE(period_number)=1, tbl_Organic[[ini_pop]:[ini_pop]]+M19,
_xlfn.SINGLE(period_number)&lt;&gt;1, L27+M19)</f>
        <v>5836.0710297196883</v>
      </c>
      <c r="N27" s="7" cm="1">
        <f t="array" ref="N27" xml:space="preserve"> _xlfn.IFS(_xlfn.SINGLE(period_number)=1, tbl_Organic[[ini_pop]:[ini_pop]]+N19,
_xlfn.SINGLE(period_number)&lt;&gt;1, M27+N19)</f>
        <v>6403.0000224189234</v>
      </c>
      <c r="O27" s="7" cm="1">
        <f t="array" ref="O27" xml:space="preserve"> _xlfn.IFS(_xlfn.SINGLE(period_number)=1, tbl_Organic[[ini_pop]:[ini_pop]]+O19,
_xlfn.SINGLE(period_number)&lt;&gt;1, N27+O19)</f>
        <v>6984.9682344446419</v>
      </c>
    </row>
    <row r="28" spans="1:15" ht="15" thickBot="1" x14ac:dyDescent="0.4">
      <c r="C28" s="29" t="s">
        <v>19</v>
      </c>
      <c r="D28" s="30">
        <f xml:space="preserve"> SUM(D23:D27)</f>
        <v>20906</v>
      </c>
      <c r="E28" s="30">
        <f t="shared" ref="E28:O28" si="1" xml:space="preserve"> SUM(E23:E27)</f>
        <v>29256.010000000002</v>
      </c>
      <c r="F28" s="30">
        <f t="shared" si="1"/>
        <v>35743.082600000002</v>
      </c>
      <c r="G28" s="30">
        <f t="shared" si="1"/>
        <v>40835.197801000002</v>
      </c>
      <c r="H28" s="30">
        <f t="shared" si="1"/>
        <v>44883.363060260002</v>
      </c>
      <c r="I28" s="30">
        <f t="shared" si="1"/>
        <v>48151.656651800105</v>
      </c>
      <c r="J28" s="30">
        <f t="shared" si="1"/>
        <v>50836.568189021229</v>
      </c>
      <c r="K28" s="30">
        <f t="shared" si="1"/>
        <v>53085.480098938788</v>
      </c>
      <c r="L28" s="30">
        <f t="shared" si="1"/>
        <v>55009.744570948678</v>
      </c>
      <c r="M28" s="30">
        <f t="shared" si="1"/>
        <v>56692.899269923546</v>
      </c>
      <c r="N28" s="30">
        <f t="shared" si="1"/>
        <v>58196.821202571824</v>
      </c>
      <c r="O28" s="30">
        <f t="shared" si="1"/>
        <v>59569.534119559321</v>
      </c>
    </row>
    <row r="29" spans="1:15" ht="15" thickTop="1" x14ac:dyDescent="0.35">
      <c r="D29" s="7"/>
    </row>
    <row r="30" spans="1:15" x14ac:dyDescent="0.35">
      <c r="C30" s="8" t="s">
        <v>22</v>
      </c>
    </row>
    <row r="31" spans="1:15" x14ac:dyDescent="0.35">
      <c r="C31" s="8" t="s">
        <v>47</v>
      </c>
    </row>
    <row r="32" spans="1:15" x14ac:dyDescent="0.35">
      <c r="A32" t="s">
        <v>22</v>
      </c>
      <c r="B32" t="s">
        <v>47</v>
      </c>
      <c r="C32" t="s">
        <v>15</v>
      </c>
      <c r="D32" s="7" cm="1">
        <f t="array" ref="D32" xml:space="preserve"> _xlfn.LET(_xlpm.channel, $C32,
_xlpm.new_channel_customers, _xlfn.XLOOKUP(_xlpm.channel, $C$14:$C$19, D$14:D$19),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4911</v>
      </c>
      <c r="E32" s="7" cm="1">
        <f t="array" ref="E32" xml:space="preserve"> _xlfn.LET(_xlpm.channel, $C32,
_xlpm.new_channel_customers, _xlfn.XLOOKUP(_xlpm.channel, $C$14:$C$19, E$14:E$19),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4969</v>
      </c>
      <c r="F32" s="7" cm="1">
        <f t="array" ref="F32" xml:space="preserve"> _xlfn.LET(_xlpm.channel, $C32,
_xlpm.new_channel_customers, _xlfn.XLOOKUP(_xlpm.channel, $C$14:$C$19, F$14:F$19),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5028</v>
      </c>
      <c r="G32" s="7" cm="1">
        <f t="array" ref="G32" xml:space="preserve"> _xlfn.LET(_xlpm.channel, $C32,
_xlpm.new_channel_customers, _xlfn.XLOOKUP(_xlpm.channel, $C$14:$C$19, G$14:G$19),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5086</v>
      </c>
      <c r="H32" s="7" cm="1">
        <f t="array" ref="H32" xml:space="preserve"> _xlfn.LET(_xlpm.channel, $C32,
_xlpm.new_channel_customers, _xlfn.XLOOKUP(_xlpm.channel, $C$14:$C$19, H$14:H$19),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5144</v>
      </c>
      <c r="I32" s="7" cm="1">
        <f t="array" ref="I32" xml:space="preserve"> _xlfn.LET(_xlpm.channel, $C32,
_xlpm.new_channel_customers, _xlfn.XLOOKUP(_xlpm.channel, $C$14:$C$19, I$14:I$19),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5203</v>
      </c>
      <c r="J32" s="7" cm="1">
        <f t="array" ref="J32" xml:space="preserve"> _xlfn.LET(_xlpm.channel, $C32,
_xlpm.new_channel_customers, _xlfn.XLOOKUP(_xlpm.channel, $C$14:$C$19, J$14:J$19),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5262</v>
      </c>
      <c r="K32" s="7" cm="1">
        <f t="array" ref="K32" xml:space="preserve"> _xlfn.LET(_xlpm.channel, $C32,
_xlpm.new_channel_customers, _xlfn.XLOOKUP(_xlpm.channel, $C$14:$C$19, K$14:K$19),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5320</v>
      </c>
      <c r="L32" s="7" cm="1">
        <f t="array" ref="L32" xml:space="preserve"> _xlfn.LET(_xlpm.channel, $C32,
_xlpm.new_channel_customers, _xlfn.XLOOKUP(_xlpm.channel, $C$14:$C$19, L$14:L$19),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5380</v>
      </c>
      <c r="M32" s="7" cm="1">
        <f t="array" ref="M32" xml:space="preserve"> _xlfn.LET(_xlpm.channel, $C32,
_xlpm.new_channel_customers, _xlfn.XLOOKUP(_xlpm.channel, $C$14:$C$19, M$14:M$19),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5439</v>
      </c>
      <c r="N32" s="7" cm="1">
        <f t="array" ref="N32" xml:space="preserve"> _xlfn.LET(_xlpm.channel, $C32,
_xlpm.new_channel_customers, _xlfn.XLOOKUP(_xlpm.channel, $C$14:$C$19, N$14:N$19),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5498</v>
      </c>
      <c r="O32" s="7" cm="1">
        <f t="array" ref="O32" xml:space="preserve"> _xlfn.LET(_xlpm.channel, $C32,
_xlpm.new_channel_customers, _xlfn.XLOOKUP(_xlpm.channel, $C$14:$C$19, O$14:O$19),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5558</v>
      </c>
    </row>
    <row r="33" spans="1:15" x14ac:dyDescent="0.35">
      <c r="A33" t="s">
        <v>22</v>
      </c>
      <c r="B33" t="s">
        <v>47</v>
      </c>
      <c r="C33" t="s">
        <v>16</v>
      </c>
      <c r="D33" s="7" cm="1">
        <f t="array" ref="D33" xml:space="preserve"> _xlfn.LET(_xlpm.channel, $C33,
_xlpm.new_channel_customers, _xlfn.XLOOKUP(_xlpm.channel, $C$14:$C$19, D$14:D$19),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4317</v>
      </c>
      <c r="E33" s="7" cm="1">
        <f t="array" ref="E33" xml:space="preserve"> _xlfn.LET(_xlpm.channel, $C33,
_xlpm.new_channel_customers, _xlfn.XLOOKUP(_xlpm.channel, $C$14:$C$19, E$14:E$19),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4354</v>
      </c>
      <c r="F33" s="7" cm="1">
        <f t="array" ref="F33" xml:space="preserve"> _xlfn.LET(_xlpm.channel, $C33,
_xlpm.new_channel_customers, _xlfn.XLOOKUP(_xlpm.channel, $C$14:$C$19, F$14:F$19),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4392</v>
      </c>
      <c r="G33" s="7" cm="1">
        <f t="array" ref="G33" xml:space="preserve"> _xlfn.LET(_xlpm.channel, $C33,
_xlpm.new_channel_customers, _xlfn.XLOOKUP(_xlpm.channel, $C$14:$C$19, G$14:G$19),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4429</v>
      </c>
      <c r="H33" s="7" cm="1">
        <f t="array" ref="H33" xml:space="preserve"> _xlfn.LET(_xlpm.channel, $C33,
_xlpm.new_channel_customers, _xlfn.XLOOKUP(_xlpm.channel, $C$14:$C$19, H$14:H$19),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4467</v>
      </c>
      <c r="I33" s="7" cm="1">
        <f t="array" ref="I33" xml:space="preserve"> _xlfn.LET(_xlpm.channel, $C33,
_xlpm.new_channel_customers, _xlfn.XLOOKUP(_xlpm.channel, $C$14:$C$19, I$14:I$19),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4504</v>
      </c>
      <c r="J33" s="7" cm="1">
        <f t="array" ref="J33" xml:space="preserve"> _xlfn.LET(_xlpm.channel, $C33,
_xlpm.new_channel_customers, _xlfn.XLOOKUP(_xlpm.channel, $C$14:$C$19, J$14:J$19),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4540</v>
      </c>
      <c r="K33" s="7" cm="1">
        <f t="array" ref="K33" xml:space="preserve"> _xlfn.LET(_xlpm.channel, $C33,
_xlpm.new_channel_customers, _xlfn.XLOOKUP(_xlpm.channel, $C$14:$C$19, K$14:K$19),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4578</v>
      </c>
      <c r="L33" s="7" cm="1">
        <f t="array" ref="L33" xml:space="preserve"> _xlfn.LET(_xlpm.channel, $C33,
_xlpm.new_channel_customers, _xlfn.XLOOKUP(_xlpm.channel, $C$14:$C$19, L$14:L$19),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4614</v>
      </c>
      <c r="M33" s="7" cm="1">
        <f t="array" ref="M33" xml:space="preserve"> _xlfn.LET(_xlpm.channel, $C33,
_xlpm.new_channel_customers, _xlfn.XLOOKUP(_xlpm.channel, $C$14:$C$19, M$14:M$19),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4650</v>
      </c>
      <c r="N33" s="7" cm="1">
        <f t="array" ref="N33" xml:space="preserve"> _xlfn.LET(_xlpm.channel, $C33,
_xlpm.new_channel_customers, _xlfn.XLOOKUP(_xlpm.channel, $C$14:$C$19, N$14:N$19),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4687</v>
      </c>
      <c r="O33" s="7" cm="1">
        <f t="array" ref="O33" xml:space="preserve"> _xlfn.LET(_xlpm.channel, $C33,
_xlpm.new_channel_customers, _xlfn.XLOOKUP(_xlpm.channel, $C$14:$C$19, O$14:O$19),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4723</v>
      </c>
    </row>
    <row r="34" spans="1:15" x14ac:dyDescent="0.35">
      <c r="A34" t="s">
        <v>22</v>
      </c>
      <c r="B34" t="s">
        <v>47</v>
      </c>
      <c r="C34" t="s">
        <v>17</v>
      </c>
      <c r="D34" s="7" cm="1">
        <f t="array" ref="D34" xml:space="preserve"> _xlfn.LET(_xlpm.channel, $C34,
_xlpm.new_channel_customers, _xlfn.XLOOKUP(_xlpm.channel, $C$14:$C$19, D$14:D$19),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5090</v>
      </c>
      <c r="E34" s="7" cm="1">
        <f t="array" ref="E34" xml:space="preserve"> _xlfn.LET(_xlpm.channel, $C34,
_xlpm.new_channel_customers, _xlfn.XLOOKUP(_xlpm.channel, $C$14:$C$19, E$14:E$19),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5117</v>
      </c>
      <c r="F34" s="7" cm="1">
        <f t="array" ref="F34" xml:space="preserve"> _xlfn.LET(_xlpm.channel, $C34,
_xlpm.new_channel_customers, _xlfn.XLOOKUP(_xlpm.channel, $C$14:$C$19, F$14:F$19),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5142</v>
      </c>
      <c r="G34" s="7" cm="1">
        <f t="array" ref="G34" xml:space="preserve"> _xlfn.LET(_xlpm.channel, $C34,
_xlpm.new_channel_customers, _xlfn.XLOOKUP(_xlpm.channel, $C$14:$C$19, G$14:G$19),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5167</v>
      </c>
      <c r="H34" s="7" cm="1">
        <f t="array" ref="H34" xml:space="preserve"> _xlfn.LET(_xlpm.channel, $C34,
_xlpm.new_channel_customers, _xlfn.XLOOKUP(_xlpm.channel, $C$14:$C$19, H$14:H$19),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5193</v>
      </c>
      <c r="I34" s="7" cm="1">
        <f t="array" ref="I34" xml:space="preserve"> _xlfn.LET(_xlpm.channel, $C34,
_xlpm.new_channel_customers, _xlfn.XLOOKUP(_xlpm.channel, $C$14:$C$19, I$14:I$19),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5218</v>
      </c>
      <c r="J34" s="7" cm="1">
        <f t="array" ref="J34" xml:space="preserve"> _xlfn.LET(_xlpm.channel, $C34,
_xlpm.new_channel_customers, _xlfn.XLOOKUP(_xlpm.channel, $C$14:$C$19, J$14:J$19),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5243</v>
      </c>
      <c r="K34" s="7" cm="1">
        <f t="array" ref="K34" xml:space="preserve"> _xlfn.LET(_xlpm.channel, $C34,
_xlpm.new_channel_customers, _xlfn.XLOOKUP(_xlpm.channel, $C$14:$C$19, K$14:K$19),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5267</v>
      </c>
      <c r="L34" s="7" cm="1">
        <f t="array" ref="L34" xml:space="preserve"> _xlfn.LET(_xlpm.channel, $C34,
_xlpm.new_channel_customers, _xlfn.XLOOKUP(_xlpm.channel, $C$14:$C$19, L$14:L$19),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5292</v>
      </c>
      <c r="M34" s="7" cm="1">
        <f t="array" ref="M34" xml:space="preserve"> _xlfn.LET(_xlpm.channel, $C34,
_xlpm.new_channel_customers, _xlfn.XLOOKUP(_xlpm.channel, $C$14:$C$19, M$14:M$19),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5316</v>
      </c>
      <c r="N34" s="7" cm="1">
        <f t="array" ref="N34" xml:space="preserve"> _xlfn.LET(_xlpm.channel, $C34,
_xlpm.new_channel_customers, _xlfn.XLOOKUP(_xlpm.channel, $C$14:$C$19, N$14:N$19),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5339</v>
      </c>
      <c r="O34" s="7" cm="1">
        <f t="array" ref="O34" xml:space="preserve"> _xlfn.LET(_xlpm.channel, $C34,
_xlpm.new_channel_customers, _xlfn.XLOOKUP(_xlpm.channel, $C$14:$C$19, O$14:O$19),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5363</v>
      </c>
    </row>
    <row r="35" spans="1:15" x14ac:dyDescent="0.35">
      <c r="A35" t="s">
        <v>22</v>
      </c>
      <c r="B35" t="s">
        <v>47</v>
      </c>
      <c r="C35" t="s">
        <v>18</v>
      </c>
      <c r="D35" s="7" cm="1">
        <f t="array" ref="D35" xml:space="preserve"> _xlfn.LET(_xlpm.channel, $C35,
_xlpm.new_channel_customers, _xlfn.XLOOKUP(_xlpm.channel, $C$14:$C$19, D$14:D$19),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3232</v>
      </c>
      <c r="E35" s="7" cm="1">
        <f t="array" ref="E35" xml:space="preserve"> _xlfn.LET(_xlpm.channel, $C35,
_xlpm.new_channel_customers, _xlfn.XLOOKUP(_xlpm.channel, $C$14:$C$19, E$14:E$19),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3234</v>
      </c>
      <c r="F35" s="7" cm="1">
        <f t="array" ref="F35" xml:space="preserve"> _xlfn.LET(_xlpm.channel, $C35,
_xlpm.new_channel_customers, _xlfn.XLOOKUP(_xlpm.channel, $C$14:$C$19, F$14:F$19),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3235</v>
      </c>
      <c r="G35" s="7" cm="1">
        <f t="array" ref="G35" xml:space="preserve"> _xlfn.LET(_xlpm.channel, $C35,
_xlpm.new_channel_customers, _xlfn.XLOOKUP(_xlpm.channel, $C$14:$C$19, G$14:G$19),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3236</v>
      </c>
      <c r="H35" s="7" cm="1">
        <f t="array" ref="H35" xml:space="preserve"> _xlfn.LET(_xlpm.channel, $C35,
_xlpm.new_channel_customers, _xlfn.XLOOKUP(_xlpm.channel, $C$14:$C$19, H$14:H$19),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3237</v>
      </c>
      <c r="I35" s="7" cm="1">
        <f t="array" ref="I35" xml:space="preserve"> _xlfn.LET(_xlpm.channel, $C35,
_xlpm.new_channel_customers, _xlfn.XLOOKUP(_xlpm.channel, $C$14:$C$19, I$14:I$19),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3239</v>
      </c>
      <c r="J35" s="7" cm="1">
        <f t="array" ref="J35" xml:space="preserve"> _xlfn.LET(_xlpm.channel, $C35,
_xlpm.new_channel_customers, _xlfn.XLOOKUP(_xlpm.channel, $C$14:$C$19, J$14:J$19),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3240</v>
      </c>
      <c r="K35" s="7" cm="1">
        <f t="array" ref="K35" xml:space="preserve"> _xlfn.LET(_xlpm.channel, $C35,
_xlpm.new_channel_customers, _xlfn.XLOOKUP(_xlpm.channel, $C$14:$C$19, K$14:K$19),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3241</v>
      </c>
      <c r="L35" s="7" cm="1">
        <f t="array" ref="L35" xml:space="preserve"> _xlfn.LET(_xlpm.channel, $C35,
_xlpm.new_channel_customers, _xlfn.XLOOKUP(_xlpm.channel, $C$14:$C$19, L$14:L$19),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3242</v>
      </c>
      <c r="M35" s="7" cm="1">
        <f t="array" ref="M35" xml:space="preserve"> _xlfn.LET(_xlpm.channel, $C35,
_xlpm.new_channel_customers, _xlfn.XLOOKUP(_xlpm.channel, $C$14:$C$19, M$14:M$19),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3243</v>
      </c>
      <c r="N35" s="7" cm="1">
        <f t="array" ref="N35" xml:space="preserve"> _xlfn.LET(_xlpm.channel, $C35,
_xlpm.new_channel_customers, _xlfn.XLOOKUP(_xlpm.channel, $C$14:$C$19, N$14:N$19),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3245</v>
      </c>
      <c r="O35" s="7" cm="1">
        <f t="array" ref="O35" xml:space="preserve"> _xlfn.LET(_xlpm.channel, $C35,
_xlpm.new_channel_customers, _xlfn.XLOOKUP(_xlpm.channel, $C$14:$C$19, O$14:O$19),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3246</v>
      </c>
    </row>
    <row r="36" spans="1:15" x14ac:dyDescent="0.35">
      <c r="A36" t="s">
        <v>22</v>
      </c>
      <c r="B36" t="s">
        <v>47</v>
      </c>
      <c r="C36" t="s">
        <v>43</v>
      </c>
      <c r="D36" s="7" cm="1">
        <f t="array" ref="D36" xml:space="preserve"> _xlfn.LET(_xlpm.channel, $C36,
_xlpm.new_channel_customers, _xlfn.XLOOKUP(_xlpm.channel, $C$14:$C$19, D$14:D$19),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1914</v>
      </c>
      <c r="E36" s="7" cm="1">
        <f t="array" ref="E36" xml:space="preserve"> _xlfn.LET(_xlpm.channel, $C36,
_xlpm.new_channel_customers, _xlfn.XLOOKUP(_xlpm.channel, $C$14:$C$19, E$14:E$19),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1928</v>
      </c>
      <c r="F36" s="7" cm="1">
        <f t="array" ref="F36" xml:space="preserve"> _xlfn.LET(_xlpm.channel, $C36,
_xlpm.new_channel_customers, _xlfn.XLOOKUP(_xlpm.channel, $C$14:$C$19, F$14:F$19),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1941</v>
      </c>
      <c r="G36" s="7" cm="1">
        <f t="array" ref="G36" xml:space="preserve"> _xlfn.LET(_xlpm.channel, $C36,
_xlpm.new_channel_customers, _xlfn.XLOOKUP(_xlpm.channel, $C$14:$C$19, G$14:G$19),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1954</v>
      </c>
      <c r="H36" s="7" cm="1">
        <f t="array" ref="H36" xml:space="preserve"> _xlfn.LET(_xlpm.channel, $C36,
_xlpm.new_channel_customers, _xlfn.XLOOKUP(_xlpm.channel, $C$14:$C$19, H$14:H$19),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1968</v>
      </c>
      <c r="I36" s="7" cm="1">
        <f t="array" ref="I36" xml:space="preserve"> _xlfn.LET(_xlpm.channel, $C36,
_xlpm.new_channel_customers, _xlfn.XLOOKUP(_xlpm.channel, $C$14:$C$19, I$14:I$19),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1981</v>
      </c>
      <c r="J36" s="7" cm="1">
        <f t="array" ref="J36" xml:space="preserve"> _xlfn.LET(_xlpm.channel, $C36,
_xlpm.new_channel_customers, _xlfn.XLOOKUP(_xlpm.channel, $C$14:$C$19, J$14:J$19),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1995</v>
      </c>
      <c r="K36" s="7" cm="1">
        <f t="array" ref="K36" xml:space="preserve"> _xlfn.LET(_xlpm.channel, $C36,
_xlpm.new_channel_customers, _xlfn.XLOOKUP(_xlpm.channel, $C$14:$C$19, K$14:K$19),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2008</v>
      </c>
      <c r="L36" s="7" cm="1">
        <f t="array" ref="L36" xml:space="preserve"> _xlfn.LET(_xlpm.channel, $C36,
_xlpm.new_channel_customers, _xlfn.XLOOKUP(_xlpm.channel, $C$14:$C$19, L$14:L$19),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2021</v>
      </c>
      <c r="M36" s="7" cm="1">
        <f t="array" ref="M36" xml:space="preserve"> _xlfn.LET(_xlpm.channel, $C36,
_xlpm.new_channel_customers, _xlfn.XLOOKUP(_xlpm.channel, $C$14:$C$19, M$14:M$19),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2034</v>
      </c>
      <c r="N36" s="7" cm="1">
        <f t="array" ref="N36" xml:space="preserve"> _xlfn.LET(_xlpm.channel, $C36,
_xlpm.new_channel_customers, _xlfn.XLOOKUP(_xlpm.channel, $C$14:$C$19, N$14:N$19),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2047</v>
      </c>
      <c r="O36" s="7" cm="1">
        <f t="array" ref="O36" xml:space="preserve"> _xlfn.LET(_xlpm.channel, $C36,
_xlpm.new_channel_customers, _xlfn.XLOOKUP(_xlpm.channel, $C$14:$C$19, O$14:O$19),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2060</v>
      </c>
    </row>
    <row r="37" spans="1:15" x14ac:dyDescent="0.35">
      <c r="A37" t="s">
        <v>22</v>
      </c>
      <c r="B37" t="s">
        <v>47</v>
      </c>
      <c r="C37" t="s">
        <v>44</v>
      </c>
      <c r="D37" s="7" cm="1">
        <f t="array" ref="D37" xml:space="preserve"> _xlfn.LET(_xlpm.channel, $C37,
_xlpm.new_channel_customers, _xlfn.XLOOKUP(_xlpm.channel, $C$14:$C$19, D$14:D$19),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73</v>
      </c>
      <c r="E37" s="7" cm="1">
        <f t="array" ref="E37" xml:space="preserve"> _xlfn.LET(_xlpm.channel, $C37,
_xlpm.new_channel_customers, _xlfn.XLOOKUP(_xlpm.channel, $C$14:$C$19, E$14:E$19),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313</v>
      </c>
      <c r="F37" s="7" cm="1">
        <f t="array" ref="F37" xml:space="preserve"> _xlfn.LET(_xlpm.channel, $C37,
_xlpm.new_channel_customers, _xlfn.XLOOKUP(_xlpm.channel, $C$14:$C$19, F$14:F$19),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438</v>
      </c>
      <c r="G37" s="7" cm="1">
        <f t="array" ref="G37" xml:space="preserve"> _xlfn.LET(_xlpm.channel, $C37,
_xlpm.new_channel_customers, _xlfn.XLOOKUP(_xlpm.channel, $C$14:$C$19, G$14:G$19),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536</v>
      </c>
      <c r="H37" s="7" cm="1">
        <f t="array" ref="H37" xml:space="preserve"> _xlfn.LET(_xlpm.channel, $C37,
_xlpm.new_channel_customers, _xlfn.XLOOKUP(_xlpm.channel, $C$14:$C$19, H$14:H$19),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612</v>
      </c>
      <c r="I37" s="7" cm="1">
        <f t="array" ref="I37" xml:space="preserve"> _xlfn.LET(_xlpm.channel, $C37,
_xlpm.new_channel_customers, _xlfn.XLOOKUP(_xlpm.channel, $C$14:$C$19, I$14:I$19),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673</v>
      </c>
      <c r="J37" s="7" cm="1">
        <f t="array" ref="J37" xml:space="preserve"> _xlfn.LET(_xlpm.channel, $C37,
_xlpm.new_channel_customers, _xlfn.XLOOKUP(_xlpm.channel, $C$14:$C$19, J$14:J$19),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722</v>
      </c>
      <c r="K37" s="7" cm="1">
        <f t="array" ref="K37" xml:space="preserve"> _xlfn.LET(_xlpm.channel, $C37,
_xlpm.new_channel_customers, _xlfn.XLOOKUP(_xlpm.channel, $C$14:$C$19, K$14:K$19),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762</v>
      </c>
      <c r="L37" s="7" cm="1">
        <f t="array" ref="L37" xml:space="preserve"> _xlfn.LET(_xlpm.channel, $C37,
_xlpm.new_channel_customers, _xlfn.XLOOKUP(_xlpm.channel, $C$14:$C$19, L$14:L$19),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796</v>
      </c>
      <c r="M37" s="7" cm="1">
        <f t="array" ref="M37" xml:space="preserve"> _xlfn.LET(_xlpm.channel, $C37,
_xlpm.new_channel_customers, _xlfn.XLOOKUP(_xlpm.channel, $C$14:$C$19, M$14:M$19),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825</v>
      </c>
      <c r="N37" s="7" cm="1">
        <f t="array" ref="N37" xml:space="preserve"> _xlfn.LET(_xlpm.channel, $C37,
_xlpm.new_channel_customers, _xlfn.XLOOKUP(_xlpm.channel, $C$14:$C$19, N$14:N$19),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850</v>
      </c>
      <c r="O37" s="7" cm="1">
        <f t="array" ref="O37" xml:space="preserve"> _xlfn.LET(_xlpm.channel, $C37,
_xlpm.new_channel_customers, _xlfn.XLOOKUP(_xlpm.channel, $C$14:$C$19, O$14:O$19),
_xlpm.channel_new_orders, _xlfn.XLOOKUP(_xlpm.channel, tbl_Channels[[Channel]:[Channel]], tbl_Channels[[new_orders]:[new_orders]],
                                             _xlfn.XLOOKUP("Organic", tbl_Organic[[Channel]:[Channel]], tbl_Organic[[new_orders]:[new_orders]])),
TRUNC(_xlpm.new_channel_customers * _xlpm.channel_new_orders))</f>
        <v>872</v>
      </c>
    </row>
    <row r="38" spans="1:15" x14ac:dyDescent="0.35">
      <c r="C38" s="41" t="s">
        <v>49</v>
      </c>
      <c r="D38" s="7">
        <f xml:space="preserve"> SUM(D32:D37)</f>
        <v>19537</v>
      </c>
      <c r="E38" s="7">
        <f t="shared" ref="E38:O38" si="2" xml:space="preserve"> SUM(E32:E37)</f>
        <v>19915</v>
      </c>
      <c r="F38" s="7">
        <f t="shared" si="2"/>
        <v>20176</v>
      </c>
      <c r="G38" s="7">
        <f t="shared" si="2"/>
        <v>20408</v>
      </c>
      <c r="H38" s="7">
        <f t="shared" si="2"/>
        <v>20621</v>
      </c>
      <c r="I38" s="7">
        <f t="shared" si="2"/>
        <v>20818</v>
      </c>
      <c r="J38" s="7">
        <f t="shared" si="2"/>
        <v>21002</v>
      </c>
      <c r="K38" s="7">
        <f t="shared" si="2"/>
        <v>21176</v>
      </c>
      <c r="L38" s="7">
        <f t="shared" si="2"/>
        <v>21345</v>
      </c>
      <c r="M38" s="7">
        <f t="shared" si="2"/>
        <v>21507</v>
      </c>
      <c r="N38" s="7">
        <f t="shared" si="2"/>
        <v>21666</v>
      </c>
      <c r="O38" s="7">
        <f t="shared" si="2"/>
        <v>21822</v>
      </c>
    </row>
    <row r="39" spans="1:15" x14ac:dyDescent="0.35">
      <c r="A39" t="s">
        <v>22</v>
      </c>
      <c r="B39" t="s">
        <v>48</v>
      </c>
      <c r="C39" s="8" t="s">
        <v>48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35">
      <c r="A40" t="s">
        <v>22</v>
      </c>
      <c r="B40" t="s">
        <v>48</v>
      </c>
      <c r="C40" t="s">
        <v>15</v>
      </c>
      <c r="D40" s="7" cm="1">
        <f t="array" ref="D40" xml:space="preserve"> _xlfn.LET(_xlpm.channel, $C40,
_xlpm.customer_ct, _xlfn.XLOOKUP(_xlpm.channel, $C$23:$C$27, D$23:D$27,
                            _xlfn.XLOOKUP("Organic", $C$23:$C$27, D$23:D$27)),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1093</v>
      </c>
      <c r="E40" s="7" cm="1">
        <f t="array" ref="E40" xml:space="preserve"> _xlfn.LET(_xlpm.channel, $C40,
_xlpm.customer_ct, _xlfn.XLOOKUP(_xlpm.channel, $C$23:$C$27, E$23:E$27,
                            _xlfn.XLOOKUP("Organic", $C$23:$C$27, E$23:E$27)),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1542</v>
      </c>
      <c r="F40" s="7" cm="1">
        <f t="array" ref="F40" xml:space="preserve"> _xlfn.LET(_xlpm.channel, $C40,
_xlpm.customer_ct, _xlfn.XLOOKUP(_xlpm.channel, $C$23:$C$27, F$23:F$27,
                            _xlfn.XLOOKUP("Organic", $C$23:$C$27, F$23:F$27)),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1888</v>
      </c>
      <c r="G40" s="7" cm="1">
        <f t="array" ref="G40" xml:space="preserve"> _xlfn.LET(_xlpm.channel, $C40,
_xlpm.customer_ct, _xlfn.XLOOKUP(_xlpm.channel, $C$23:$C$27, G$23:G$27,
                            _xlfn.XLOOKUP("Organic", $C$23:$C$27, G$23:G$27)),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2156</v>
      </c>
      <c r="H40" s="7" cm="1">
        <f t="array" ref="H40" xml:space="preserve"> _xlfn.LET(_xlpm.channel, $C40,
_xlpm.customer_ct, _xlfn.XLOOKUP(_xlpm.channel, $C$23:$C$27, H$23:H$27,
                            _xlfn.XLOOKUP("Organic", $C$23:$C$27, H$23:H$27)),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2365</v>
      </c>
      <c r="I40" s="7" cm="1">
        <f t="array" ref="I40" xml:space="preserve"> _xlfn.LET(_xlpm.channel, $C40,
_xlpm.customer_ct, _xlfn.XLOOKUP(_xlpm.channel, $C$23:$C$27, I$23:I$27,
                            _xlfn.XLOOKUP("Organic", $C$23:$C$27, I$23:I$27)),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2530</v>
      </c>
      <c r="J40" s="7" cm="1">
        <f t="array" ref="J40" xml:space="preserve"> _xlfn.LET(_xlpm.channel, $C40,
_xlpm.customer_ct, _xlfn.XLOOKUP(_xlpm.channel, $C$23:$C$27, J$23:J$27,
                            _xlfn.XLOOKUP("Organic", $C$23:$C$27, J$23:J$27)),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2663</v>
      </c>
      <c r="K40" s="7" cm="1">
        <f t="array" ref="K40" xml:space="preserve"> _xlfn.LET(_xlpm.channel, $C40,
_xlpm.customer_ct, _xlfn.XLOOKUP(_xlpm.channel, $C$23:$C$27, K$23:K$27,
                            _xlfn.XLOOKUP("Organic", $C$23:$C$27, K$23:K$27)),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2771</v>
      </c>
      <c r="L40" s="7" cm="1">
        <f t="array" ref="L40" xml:space="preserve"> _xlfn.LET(_xlpm.channel, $C40,
_xlpm.customer_ct, _xlfn.XLOOKUP(_xlpm.channel, $C$23:$C$27, L$23:L$27,
                            _xlfn.XLOOKUP("Organic", $C$23:$C$27, L$23:L$27)),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2861</v>
      </c>
      <c r="M40" s="7" cm="1">
        <f t="array" ref="M40" xml:space="preserve"> _xlfn.LET(_xlpm.channel, $C40,
_xlpm.customer_ct, _xlfn.XLOOKUP(_xlpm.channel, $C$23:$C$27, M$23:M$27,
                            _xlfn.XLOOKUP("Organic", $C$23:$C$27, M$23:M$27)),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2937</v>
      </c>
      <c r="N40" s="7" cm="1">
        <f t="array" ref="N40" xml:space="preserve"> _xlfn.LET(_xlpm.channel, $C40,
_xlpm.customer_ct, _xlfn.XLOOKUP(_xlpm.channel, $C$23:$C$27, N$23:N$27,
                            _xlfn.XLOOKUP("Organic", $C$23:$C$27, N$23:N$27)),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3002</v>
      </c>
      <c r="O40" s="7" cm="1">
        <f t="array" ref="O40" xml:space="preserve"> _xlfn.LET(_xlpm.channel, $C40,
_xlpm.customer_ct, _xlfn.XLOOKUP(_xlpm.channel, $C$23:$C$27, O$23:O$27,
                            _xlfn.XLOOKUP("Organic", $C$23:$C$27, O$23:O$27)),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3060</v>
      </c>
    </row>
    <row r="41" spans="1:15" x14ac:dyDescent="0.35">
      <c r="A41" t="s">
        <v>22</v>
      </c>
      <c r="B41" t="s">
        <v>48</v>
      </c>
      <c r="C41" t="s">
        <v>16</v>
      </c>
      <c r="D41" s="7" cm="1">
        <f t="array" ref="D41" xml:space="preserve"> _xlfn.LET(_xlpm.channel, $C41,
_xlpm.customer_ct, _xlfn.XLOOKUP(_xlpm.channel, $C$23:$C$27, D$23:D$27,
                            _xlfn.XLOOKUP("Organic", $C$23:$C$27, D$23:D$27)),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965</v>
      </c>
      <c r="E41" s="7" cm="1">
        <f t="array" ref="E41" xml:space="preserve"> _xlfn.LET(_xlpm.channel, $C41,
_xlpm.customer_ct, _xlfn.XLOOKUP(_xlpm.channel, $C$23:$C$27, E$23:E$27,
                            _xlfn.XLOOKUP("Organic", $C$23:$C$27, E$23:E$27)),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1357</v>
      </c>
      <c r="F41" s="7" cm="1">
        <f t="array" ref="F41" xml:space="preserve"> _xlfn.LET(_xlpm.channel, $C41,
_xlpm.customer_ct, _xlfn.XLOOKUP(_xlpm.channel, $C$23:$C$27, F$23:F$27,
                            _xlfn.XLOOKUP("Organic", $C$23:$C$27, F$23:F$27)),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1656</v>
      </c>
      <c r="G41" s="7" cm="1">
        <f t="array" ref="G41" xml:space="preserve"> _xlfn.LET(_xlpm.channel, $C41,
_xlpm.customer_ct, _xlfn.XLOOKUP(_xlpm.channel, $C$23:$C$27, G$23:G$27,
                            _xlfn.XLOOKUP("Organic", $C$23:$C$27, G$23:G$27)),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1886</v>
      </c>
      <c r="H41" s="7" cm="1">
        <f t="array" ref="H41" xml:space="preserve"> _xlfn.LET(_xlpm.channel, $C41,
_xlpm.customer_ct, _xlfn.XLOOKUP(_xlpm.channel, $C$23:$C$27, H$23:H$27,
                            _xlfn.XLOOKUP("Organic", $C$23:$C$27, H$23:H$27)),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2064</v>
      </c>
      <c r="I41" s="7" cm="1">
        <f t="array" ref="I41" xml:space="preserve"> _xlfn.LET(_xlpm.channel, $C41,
_xlpm.customer_ct, _xlfn.XLOOKUP(_xlpm.channel, $C$23:$C$27, I$23:I$27,
                            _xlfn.XLOOKUP("Organic", $C$23:$C$27, I$23:I$27)),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2203</v>
      </c>
      <c r="J41" s="7" cm="1">
        <f t="array" ref="J41" xml:space="preserve"> _xlfn.LET(_xlpm.channel, $C41,
_xlpm.customer_ct, _xlfn.XLOOKUP(_xlpm.channel, $C$23:$C$27, J$23:J$27,
                            _xlfn.XLOOKUP("Organic", $C$23:$C$27, J$23:J$27)),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2313</v>
      </c>
      <c r="K41" s="7" cm="1">
        <f t="array" ref="K41" xml:space="preserve"> _xlfn.LET(_xlpm.channel, $C41,
_xlpm.customer_ct, _xlfn.XLOOKUP(_xlpm.channel, $C$23:$C$27, K$23:K$27,
                            _xlfn.XLOOKUP("Organic", $C$23:$C$27, K$23:K$27)),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2400</v>
      </c>
      <c r="L41" s="7" cm="1">
        <f t="array" ref="L41" xml:space="preserve"> _xlfn.LET(_xlpm.channel, $C41,
_xlpm.customer_ct, _xlfn.XLOOKUP(_xlpm.channel, $C$23:$C$27, L$23:L$27,
                            _xlfn.XLOOKUP("Organic", $C$23:$C$27, L$23:L$27)),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2471</v>
      </c>
      <c r="M41" s="7" cm="1">
        <f t="array" ref="M41" xml:space="preserve"> _xlfn.LET(_xlpm.channel, $C41,
_xlpm.customer_ct, _xlfn.XLOOKUP(_xlpm.channel, $C$23:$C$27, M$23:M$27,
                            _xlfn.XLOOKUP("Organic", $C$23:$C$27, M$23:M$27)),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2530</v>
      </c>
      <c r="N41" s="7" cm="1">
        <f t="array" ref="N41" xml:space="preserve"> _xlfn.LET(_xlpm.channel, $C41,
_xlpm.customer_ct, _xlfn.XLOOKUP(_xlpm.channel, $C$23:$C$27, N$23:N$27,
                            _xlfn.XLOOKUP("Organic", $C$23:$C$27, N$23:N$27)),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2579</v>
      </c>
      <c r="O41" s="7" cm="1">
        <f t="array" ref="O41" xml:space="preserve"> _xlfn.LET(_xlpm.channel, $C41,
_xlpm.customer_ct, _xlfn.XLOOKUP(_xlpm.channel, $C$23:$C$27, O$23:O$27,
                            _xlfn.XLOOKUP("Organic", $C$23:$C$27, O$23:O$27)),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2621</v>
      </c>
    </row>
    <row r="42" spans="1:15" x14ac:dyDescent="0.35">
      <c r="A42" t="s">
        <v>22</v>
      </c>
      <c r="B42" t="s">
        <v>48</v>
      </c>
      <c r="C42" t="s">
        <v>17</v>
      </c>
      <c r="D42" s="7" cm="1">
        <f t="array" ref="D42" xml:space="preserve"> _xlfn.LET(_xlpm.channel, $C42,
_xlpm.customer_ct, _xlfn.XLOOKUP(_xlpm.channel, $C$23:$C$27, D$23:D$27,
                            _xlfn.XLOOKUP("Organic", $C$23:$C$27, D$23:D$27)),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1085</v>
      </c>
      <c r="E42" s="7" cm="1">
        <f t="array" ref="E42" xml:space="preserve"> _xlfn.LET(_xlpm.channel, $C42,
_xlpm.customer_ct, _xlfn.XLOOKUP(_xlpm.channel, $C$23:$C$27, E$23:E$27,
                            _xlfn.XLOOKUP("Organic", $C$23:$C$27, E$23:E$27)),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1558</v>
      </c>
      <c r="F42" s="7" cm="1">
        <f t="array" ref="F42" xml:space="preserve"> _xlfn.LET(_xlpm.channel, $C42,
_xlpm.customer_ct, _xlfn.XLOOKUP(_xlpm.channel, $C$23:$C$27, F$23:F$27,
                            _xlfn.XLOOKUP("Organic", $C$23:$C$27, F$23:F$27)),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1916</v>
      </c>
      <c r="G42" s="7" cm="1">
        <f t="array" ref="G42" xml:space="preserve"> _xlfn.LET(_xlpm.channel, $C42,
_xlpm.customer_ct, _xlfn.XLOOKUP(_xlpm.channel, $C$23:$C$27, G$23:G$27,
                            _xlfn.XLOOKUP("Organic", $C$23:$C$27, G$23:G$27)),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2189</v>
      </c>
      <c r="H42" s="7" cm="1">
        <f t="array" ref="H42" xml:space="preserve"> _xlfn.LET(_xlpm.channel, $C42,
_xlpm.customer_ct, _xlfn.XLOOKUP(_xlpm.channel, $C$23:$C$27, H$23:H$27,
                            _xlfn.XLOOKUP("Organic", $C$23:$C$27, H$23:H$27)),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2397</v>
      </c>
      <c r="I42" s="7" cm="1">
        <f t="array" ref="I42" xml:space="preserve"> _xlfn.LET(_xlpm.channel, $C42,
_xlpm.customer_ct, _xlfn.XLOOKUP(_xlpm.channel, $C$23:$C$27, I$23:I$27,
                            _xlfn.XLOOKUP("Organic", $C$23:$C$27, I$23:I$27)),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2557</v>
      </c>
      <c r="J42" s="7" cm="1">
        <f t="array" ref="J42" xml:space="preserve"> _xlfn.LET(_xlpm.channel, $C42,
_xlpm.customer_ct, _xlfn.XLOOKUP(_xlpm.channel, $C$23:$C$27, J$23:J$27,
                            _xlfn.XLOOKUP("Organic", $C$23:$C$27, J$23:J$27)),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2680</v>
      </c>
      <c r="K42" s="7" cm="1">
        <f t="array" ref="K42" xml:space="preserve"> _xlfn.LET(_xlpm.channel, $C42,
_xlpm.customer_ct, _xlfn.XLOOKUP(_xlpm.channel, $C$23:$C$27, K$23:K$27,
                            _xlfn.XLOOKUP("Organic", $C$23:$C$27, K$23:K$27)),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2776</v>
      </c>
      <c r="L42" s="7" cm="1">
        <f t="array" ref="L42" xml:space="preserve"> _xlfn.LET(_xlpm.channel, $C42,
_xlpm.customer_ct, _xlfn.XLOOKUP(_xlpm.channel, $C$23:$C$27, L$23:L$27,
                            _xlfn.XLOOKUP("Organic", $C$23:$C$27, L$23:L$27)),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2852</v>
      </c>
      <c r="M42" s="7" cm="1">
        <f t="array" ref="M42" xml:space="preserve"> _xlfn.LET(_xlpm.channel, $C42,
_xlpm.customer_ct, _xlfn.XLOOKUP(_xlpm.channel, $C$23:$C$27, M$23:M$27,
                            _xlfn.XLOOKUP("Organic", $C$23:$C$27, M$23:M$27)),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2912</v>
      </c>
      <c r="N42" s="7" cm="1">
        <f t="array" ref="N42" xml:space="preserve"> _xlfn.LET(_xlpm.channel, $C42,
_xlpm.customer_ct, _xlfn.XLOOKUP(_xlpm.channel, $C$23:$C$27, N$23:N$27,
                            _xlfn.XLOOKUP("Organic", $C$23:$C$27, N$23:N$27)),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2960</v>
      </c>
      <c r="O42" s="7" cm="1">
        <f t="array" ref="O42" xml:space="preserve"> _xlfn.LET(_xlpm.channel, $C42,
_xlpm.customer_ct, _xlfn.XLOOKUP(_xlpm.channel, $C$23:$C$27, O$23:O$27,
                            _xlfn.XLOOKUP("Organic", $C$23:$C$27, O$23:O$27)),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3000</v>
      </c>
    </row>
    <row r="43" spans="1:15" x14ac:dyDescent="0.35">
      <c r="A43" t="s">
        <v>22</v>
      </c>
      <c r="B43" t="s">
        <v>48</v>
      </c>
      <c r="C43" t="s">
        <v>18</v>
      </c>
      <c r="D43" s="7" cm="1">
        <f t="array" ref="D43" xml:space="preserve"> _xlfn.LET(_xlpm.channel, $C43,
_xlpm.customer_ct, _xlfn.XLOOKUP(_xlpm.channel, $C$23:$C$27, D$23:D$27,
                            _xlfn.XLOOKUP("Organic", $C$23:$C$27, D$23:D$27)),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627</v>
      </c>
      <c r="E43" s="7" cm="1">
        <f t="array" ref="E43" xml:space="preserve"> _xlfn.LET(_xlpm.channel, $C43,
_xlpm.customer_ct, _xlfn.XLOOKUP(_xlpm.channel, $C$23:$C$27, E$23:E$27,
                            _xlfn.XLOOKUP("Organic", $C$23:$C$27, E$23:E$27)),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941</v>
      </c>
      <c r="F43" s="7" cm="1">
        <f t="array" ref="F43" xml:space="preserve"> _xlfn.LET(_xlpm.channel, $C43,
_xlpm.customer_ct, _xlfn.XLOOKUP(_xlpm.channel, $C$23:$C$27, F$23:F$27,
                            _xlfn.XLOOKUP("Organic", $C$23:$C$27, F$23:F$27)),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1176</v>
      </c>
      <c r="G43" s="7" cm="1">
        <f t="array" ref="G43" xml:space="preserve"> _xlfn.LET(_xlpm.channel, $C43,
_xlpm.customer_ct, _xlfn.XLOOKUP(_xlpm.channel, $C$23:$C$27, G$23:G$27,
                            _xlfn.XLOOKUP("Organic", $C$23:$C$27, G$23:G$27)),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1353</v>
      </c>
      <c r="H43" s="7" cm="1">
        <f t="array" ref="H43" xml:space="preserve"> _xlfn.LET(_xlpm.channel, $C43,
_xlpm.customer_ct, _xlfn.XLOOKUP(_xlpm.channel, $C$23:$C$27, H$23:H$27,
                            _xlfn.XLOOKUP("Organic", $C$23:$C$27, H$23:H$27)),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1485</v>
      </c>
      <c r="I43" s="7" cm="1">
        <f t="array" ref="I43" xml:space="preserve"> _xlfn.LET(_xlpm.channel, $C43,
_xlpm.customer_ct, _xlfn.XLOOKUP(_xlpm.channel, $C$23:$C$27, I$23:I$27,
                            _xlfn.XLOOKUP("Organic", $C$23:$C$27, I$23:I$27)),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1585</v>
      </c>
      <c r="J43" s="7" cm="1">
        <f t="array" ref="J43" xml:space="preserve"> _xlfn.LET(_xlpm.channel, $C43,
_xlpm.customer_ct, _xlfn.XLOOKUP(_xlpm.channel, $C$23:$C$27, J$23:J$27,
                            _xlfn.XLOOKUP("Organic", $C$23:$C$27, J$23:J$27)),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1660</v>
      </c>
      <c r="K43" s="7" cm="1">
        <f t="array" ref="K43" xml:space="preserve"> _xlfn.LET(_xlpm.channel, $C43,
_xlpm.customer_ct, _xlfn.XLOOKUP(_xlpm.channel, $C$23:$C$27, K$23:K$27,
                            _xlfn.XLOOKUP("Organic", $C$23:$C$27, K$23:K$27)),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1716</v>
      </c>
      <c r="L43" s="7" cm="1">
        <f t="array" ref="L43" xml:space="preserve"> _xlfn.LET(_xlpm.channel, $C43,
_xlpm.customer_ct, _xlfn.XLOOKUP(_xlpm.channel, $C$23:$C$27, L$23:L$27,
                            _xlfn.XLOOKUP("Organic", $C$23:$C$27, L$23:L$27)),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1759</v>
      </c>
      <c r="M43" s="7" cm="1">
        <f t="array" ref="M43" xml:space="preserve"> _xlfn.LET(_xlpm.channel, $C43,
_xlpm.customer_ct, _xlfn.XLOOKUP(_xlpm.channel, $C$23:$C$27, M$23:M$27,
                            _xlfn.XLOOKUP("Organic", $C$23:$C$27, M$23:M$27)),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1791</v>
      </c>
      <c r="N43" s="7" cm="1">
        <f t="array" ref="N43" xml:space="preserve"> _xlfn.LET(_xlpm.channel, $C43,
_xlpm.customer_ct, _xlfn.XLOOKUP(_xlpm.channel, $C$23:$C$27, N$23:N$27,
                            _xlfn.XLOOKUP("Organic", $C$23:$C$27, N$23:N$27)),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1815</v>
      </c>
      <c r="O43" s="7" cm="1">
        <f t="array" ref="O43" xml:space="preserve"> _xlfn.LET(_xlpm.channel, $C43,
_xlpm.customer_ct, _xlfn.XLOOKUP(_xlpm.channel, $C$23:$C$27, O$23:O$27,
                            _xlfn.XLOOKUP("Organic", $C$23:$C$27, O$23:O$27)),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1833</v>
      </c>
    </row>
    <row r="44" spans="1:15" x14ac:dyDescent="0.35">
      <c r="A44" t="s">
        <v>22</v>
      </c>
      <c r="B44" t="s">
        <v>48</v>
      </c>
      <c r="C44" t="s">
        <v>20</v>
      </c>
      <c r="D44" s="7" cm="1">
        <f t="array" ref="D44" xml:space="preserve"> _xlfn.LET(_xlpm.channel, $C44,
_xlpm.customer_ct, _xlfn.XLOOKUP(_xlpm.channel, $C$23:$C$27, D$23:D$27,
                            _xlfn.XLOOKUP("Organic", $C$23:$C$27, D$23:D$27)),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409</v>
      </c>
      <c r="E44" s="7" cm="1">
        <f t="array" ref="E44" xml:space="preserve"> _xlfn.LET(_xlpm.channel, $C44,
_xlpm.customer_ct, _xlfn.XLOOKUP(_xlpm.channel, $C$23:$C$27, E$23:E$27,
                            _xlfn.XLOOKUP("Organic", $C$23:$C$27, E$23:E$27)),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451</v>
      </c>
      <c r="F44" s="7" cm="1">
        <f t="array" ref="F44" xml:space="preserve"> _xlfn.LET(_xlpm.channel, $C44,
_xlpm.customer_ct, _xlfn.XLOOKUP(_xlpm.channel, $C$23:$C$27, F$23:F$27,
                            _xlfn.XLOOKUP("Organic", $C$23:$C$27, F$23:F$27)),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510</v>
      </c>
      <c r="G44" s="7" cm="1">
        <f t="array" ref="G44" xml:space="preserve"> _xlfn.LET(_xlpm.channel, $C44,
_xlpm.customer_ct, _xlfn.XLOOKUP(_xlpm.channel, $C$23:$C$27, G$23:G$27,
                            _xlfn.XLOOKUP("Organic", $C$23:$C$27, G$23:G$27)),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581</v>
      </c>
      <c r="H44" s="7" cm="1">
        <f t="array" ref="H44" xml:space="preserve"> _xlfn.LET(_xlpm.channel, $C44,
_xlpm.customer_ct, _xlfn.XLOOKUP(_xlpm.channel, $C$23:$C$27, H$23:H$27,
                            _xlfn.XLOOKUP("Organic", $C$23:$C$27, H$23:H$27)),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663</v>
      </c>
      <c r="I44" s="7" cm="1">
        <f t="array" ref="I44" xml:space="preserve"> _xlfn.LET(_xlpm.channel, $C44,
_xlpm.customer_ct, _xlfn.XLOOKUP(_xlpm.channel, $C$23:$C$27, I$23:I$27,
                            _xlfn.XLOOKUP("Organic", $C$23:$C$27, I$23:I$27)),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753</v>
      </c>
      <c r="J44" s="7" cm="1">
        <f t="array" ref="J44" xml:space="preserve"> _xlfn.LET(_xlpm.channel, $C44,
_xlpm.customer_ct, _xlfn.XLOOKUP(_xlpm.channel, $C$23:$C$27, J$23:J$27,
                            _xlfn.XLOOKUP("Organic", $C$23:$C$27, J$23:J$27)),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849</v>
      </c>
      <c r="K44" s="7" cm="1">
        <f t="array" ref="K44" xml:space="preserve"> _xlfn.LET(_xlpm.channel, $C44,
_xlpm.customer_ct, _xlfn.XLOOKUP(_xlpm.channel, $C$23:$C$27, K$23:K$27,
                            _xlfn.XLOOKUP("Organic", $C$23:$C$27, K$23:K$27)),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951</v>
      </c>
      <c r="L44" s="7" cm="1">
        <f t="array" ref="L44" xml:space="preserve"> _xlfn.LET(_xlpm.channel, $C44,
_xlpm.customer_ct, _xlfn.XLOOKUP(_xlpm.channel, $C$23:$C$27, L$23:L$27,
                            _xlfn.XLOOKUP("Organic", $C$23:$C$27, L$23:L$27)),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1057</v>
      </c>
      <c r="M44" s="7" cm="1">
        <f t="array" ref="M44" xml:space="preserve"> _xlfn.LET(_xlpm.channel, $C44,
_xlpm.customer_ct, _xlfn.XLOOKUP(_xlpm.channel, $C$23:$C$27, M$23:M$27,
                            _xlfn.XLOOKUP("Organic", $C$23:$C$27, M$23:M$27)),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1167</v>
      </c>
      <c r="N44" s="7" cm="1">
        <f t="array" ref="N44" xml:space="preserve"> _xlfn.LET(_xlpm.channel, $C44,
_xlpm.customer_ct, _xlfn.XLOOKUP(_xlpm.channel, $C$23:$C$27, N$23:N$27,
                            _xlfn.XLOOKUP("Organic", $C$23:$C$27, N$23:N$27)),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1280</v>
      </c>
      <c r="O44" s="7" cm="1">
        <f t="array" ref="O44" xml:space="preserve"> _xlfn.LET(_xlpm.channel, $C44,
_xlpm.customer_ct, _xlfn.XLOOKUP(_xlpm.channel, $C$23:$C$27, O$23:O$27,
                            _xlfn.XLOOKUP("Organic", $C$23:$C$27, O$23:O$27)),
_xlpm.channel_orders, _xlfn.XLOOKUP(_xlpm.channel, tbl_Channels[[Channel]:[Channel]], tbl_Channels[[reorder]:[reorder]],
                                   _xlfn.XLOOKUP("Organic", tbl_Organic[[Channel]:[Channel]], tbl_Organic[[reorder]:[reorder]])),
TRUNC(_xlpm.channel_orders * _xlpm.customer_ct))</f>
        <v>1396</v>
      </c>
    </row>
    <row r="45" spans="1:15" x14ac:dyDescent="0.35">
      <c r="C45" s="41" t="s">
        <v>50</v>
      </c>
      <c r="D45" s="7">
        <f xml:space="preserve"> SUM(D40:D44)</f>
        <v>4179</v>
      </c>
      <c r="E45" s="7">
        <f t="shared" ref="E45:O45" si="3" xml:space="preserve"> SUM(E40:E44)</f>
        <v>5849</v>
      </c>
      <c r="F45" s="7">
        <f t="shared" si="3"/>
        <v>7146</v>
      </c>
      <c r="G45" s="7">
        <f t="shared" si="3"/>
        <v>8165</v>
      </c>
      <c r="H45" s="7">
        <f t="shared" si="3"/>
        <v>8974</v>
      </c>
      <c r="I45" s="7">
        <f t="shared" si="3"/>
        <v>9628</v>
      </c>
      <c r="J45" s="7">
        <f t="shared" si="3"/>
        <v>10165</v>
      </c>
      <c r="K45" s="7">
        <f t="shared" si="3"/>
        <v>10614</v>
      </c>
      <c r="L45" s="7">
        <f t="shared" si="3"/>
        <v>11000</v>
      </c>
      <c r="M45" s="7">
        <f t="shared" si="3"/>
        <v>11337</v>
      </c>
      <c r="N45" s="7">
        <f t="shared" si="3"/>
        <v>11636</v>
      </c>
      <c r="O45" s="7">
        <f t="shared" si="3"/>
        <v>11910</v>
      </c>
    </row>
    <row r="46" spans="1:15" ht="15" thickBot="1" x14ac:dyDescent="0.4">
      <c r="C46" s="29" t="s">
        <v>19</v>
      </c>
      <c r="D46" s="30">
        <f xml:space="preserve"> SUM(D38, D45)</f>
        <v>23716</v>
      </c>
      <c r="E46" s="30">
        <f t="shared" ref="E46:O46" si="4" xml:space="preserve"> SUM(E38, E45)</f>
        <v>25764</v>
      </c>
      <c r="F46" s="30">
        <f t="shared" si="4"/>
        <v>27322</v>
      </c>
      <c r="G46" s="30">
        <f t="shared" si="4"/>
        <v>28573</v>
      </c>
      <c r="H46" s="30">
        <f t="shared" si="4"/>
        <v>29595</v>
      </c>
      <c r="I46" s="30">
        <f t="shared" si="4"/>
        <v>30446</v>
      </c>
      <c r="J46" s="30">
        <f t="shared" si="4"/>
        <v>31167</v>
      </c>
      <c r="K46" s="30">
        <f t="shared" si="4"/>
        <v>31790</v>
      </c>
      <c r="L46" s="30">
        <f t="shared" si="4"/>
        <v>32345</v>
      </c>
      <c r="M46" s="30">
        <f t="shared" si="4"/>
        <v>32844</v>
      </c>
      <c r="N46" s="30">
        <f t="shared" si="4"/>
        <v>33302</v>
      </c>
      <c r="O46" s="30">
        <f t="shared" si="4"/>
        <v>33732</v>
      </c>
    </row>
    <row r="47" spans="1:15" ht="15" thickTop="1" x14ac:dyDescent="0.35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35">
      <c r="C48" s="8" t="s">
        <v>21</v>
      </c>
    </row>
    <row r="49" spans="1:15" x14ac:dyDescent="0.35">
      <c r="A49" t="s">
        <v>21</v>
      </c>
      <c r="C49" t="s">
        <v>15</v>
      </c>
      <c r="D49" s="13">
        <f xml:space="preserve"> _xlfn.LET(_xlpm.channel, $C49,
_xlpm.ad_spend, _xlfn.XLOOKUP(_xlpm.channel, $C$7:$C$10, D$7:D$10),
_xlpm.new_customers, _xlfn.XLOOKUP(_xlpm.channel, $C$14:$C$17, D$14:D$17),
_xlpm.ad_spend/_xlpm.new_customers)</f>
        <v>10.867637178051512</v>
      </c>
      <c r="E49" s="13">
        <f t="shared" ref="E49:O49" si="5" xml:space="preserve"> _xlfn.LET(_xlpm.channel, $C49,
_xlpm.ad_spend, _xlfn.XLOOKUP(_xlpm.channel, $C$7:$C$10, E$7:E$10),
_xlpm.new_customers, _xlfn.XLOOKUP(_xlpm.channel, $C$14:$C$17, E$14:E$17),
_xlpm.ad_spend/_xlpm.new_customers)</f>
        <v>10.955068614431164</v>
      </c>
      <c r="F49" s="13">
        <f t="shared" si="5"/>
        <v>11.044410413476264</v>
      </c>
      <c r="G49" s="13">
        <f t="shared" si="5"/>
        <v>11.136245674740485</v>
      </c>
      <c r="H49" s="13">
        <f t="shared" si="5"/>
        <v>11.230275817831943</v>
      </c>
      <c r="I49" s="13">
        <f t="shared" si="5"/>
        <v>11.326427061310783</v>
      </c>
      <c r="J49" s="13">
        <f t="shared" si="5"/>
        <v>11.422658862876254</v>
      </c>
      <c r="K49" s="13">
        <f t="shared" si="5"/>
        <v>11.523464957618359</v>
      </c>
      <c r="L49" s="13">
        <f t="shared" si="5"/>
        <v>11.624207728480883</v>
      </c>
      <c r="M49" s="13">
        <f t="shared" si="5"/>
        <v>11.727199191102123</v>
      </c>
      <c r="N49" s="13">
        <f t="shared" si="5"/>
        <v>11.832566513302661</v>
      </c>
      <c r="O49" s="13">
        <f t="shared" si="5"/>
        <v>11.940233524638828</v>
      </c>
    </row>
    <row r="50" spans="1:15" x14ac:dyDescent="0.35">
      <c r="A50" t="s">
        <v>21</v>
      </c>
      <c r="C50" t="s">
        <v>16</v>
      </c>
      <c r="D50" s="13">
        <f t="shared" ref="D50:O52" si="6" xml:space="preserve"> _xlfn.LET(_xlpm.channel, $C50,
_xlpm.ad_spend, _xlfn.XLOOKUP(_xlpm.channel, $C$7:$C$10, D$7:D$10),
_xlpm.new_customers, _xlfn.XLOOKUP(_xlpm.channel, $C$14:$C$17, D$14:D$17),
_xlpm.ad_spend/_xlpm.new_customers)</f>
        <v>12.3628025477707</v>
      </c>
      <c r="E50" s="13">
        <f t="shared" si="6"/>
        <v>12.501894417782268</v>
      </c>
      <c r="F50" s="13">
        <f t="shared" si="6"/>
        <v>12.64312546957175</v>
      </c>
      <c r="G50" s="13">
        <f t="shared" si="6"/>
        <v>12.787186491184505</v>
      </c>
      <c r="H50" s="13">
        <f t="shared" si="6"/>
        <v>12.933760157596652</v>
      </c>
      <c r="I50" s="13">
        <f t="shared" si="6"/>
        <v>13.082783882783882</v>
      </c>
      <c r="J50" s="13">
        <f t="shared" si="6"/>
        <v>13.237887596899224</v>
      </c>
      <c r="K50" s="13">
        <f t="shared" si="6"/>
        <v>13.392359442575685</v>
      </c>
      <c r="L50" s="13">
        <f t="shared" si="6"/>
        <v>13.55280095351609</v>
      </c>
      <c r="M50" s="13">
        <f t="shared" si="6"/>
        <v>13.715941343424786</v>
      </c>
      <c r="N50" s="13">
        <f t="shared" si="6"/>
        <v>13.881952593287961</v>
      </c>
      <c r="O50" s="13">
        <f t="shared" si="6"/>
        <v>14.050768514205869</v>
      </c>
    </row>
    <row r="51" spans="1:15" x14ac:dyDescent="0.35">
      <c r="A51" t="s">
        <v>21</v>
      </c>
      <c r="C51" t="s">
        <v>17</v>
      </c>
      <c r="D51" s="13">
        <f t="shared" si="6"/>
        <v>10.484874675885912</v>
      </c>
      <c r="E51" s="13">
        <f t="shared" si="6"/>
        <v>10.63950988822012</v>
      </c>
      <c r="F51" s="13">
        <f t="shared" si="6"/>
        <v>10.798716577540107</v>
      </c>
      <c r="G51" s="13">
        <f t="shared" si="6"/>
        <v>10.960834397616006</v>
      </c>
      <c r="H51" s="13">
        <f t="shared" si="6"/>
        <v>11.125608981148062</v>
      </c>
      <c r="I51" s="13">
        <f t="shared" si="6"/>
        <v>11.293001686340641</v>
      </c>
      <c r="J51" s="13">
        <f t="shared" si="6"/>
        <v>11.463394168239983</v>
      </c>
      <c r="K51" s="13">
        <f t="shared" si="6"/>
        <v>11.638964293171853</v>
      </c>
      <c r="L51" s="13">
        <f t="shared" si="6"/>
        <v>11.817501558927457</v>
      </c>
      <c r="M51" s="13">
        <f t="shared" si="6"/>
        <v>11.99896544589282</v>
      </c>
      <c r="N51" s="13">
        <f t="shared" si="6"/>
        <v>12.186032138442522</v>
      </c>
      <c r="O51" s="13">
        <f t="shared" si="6"/>
        <v>12.373666940114848</v>
      </c>
    </row>
    <row r="52" spans="1:15" x14ac:dyDescent="0.35">
      <c r="A52" t="s">
        <v>21</v>
      </c>
      <c r="C52" t="s">
        <v>18</v>
      </c>
      <c r="D52" s="13">
        <f t="shared" si="6"/>
        <v>16.510377679482819</v>
      </c>
      <c r="E52" s="13">
        <f t="shared" si="6"/>
        <v>16.835034013605441</v>
      </c>
      <c r="F52" s="13">
        <f t="shared" si="6"/>
        <v>17.165589935396124</v>
      </c>
      <c r="G52" s="13">
        <f t="shared" si="6"/>
        <v>17.503059143439838</v>
      </c>
      <c r="H52" s="13">
        <f t="shared" si="6"/>
        <v>17.847094801223243</v>
      </c>
      <c r="I52" s="13">
        <f t="shared" si="6"/>
        <v>18.191511035653651</v>
      </c>
      <c r="J52" s="13">
        <f t="shared" si="6"/>
        <v>18.549219280380175</v>
      </c>
      <c r="K52" s="13">
        <f t="shared" si="6"/>
        <v>18.91381065490329</v>
      </c>
      <c r="L52" s="13">
        <f t="shared" si="6"/>
        <v>19.285617367706919</v>
      </c>
      <c r="M52" s="13">
        <f t="shared" si="6"/>
        <v>19.664632078670735</v>
      </c>
      <c r="N52" s="13">
        <f t="shared" si="6"/>
        <v>20.051186440677967</v>
      </c>
      <c r="O52" s="13">
        <f t="shared" si="6"/>
        <v>20.445272788885124</v>
      </c>
    </row>
    <row r="53" spans="1:15" ht="15" thickBot="1" x14ac:dyDescent="0.4">
      <c r="C53" s="29" t="s">
        <v>51</v>
      </c>
      <c r="D53" s="42">
        <f xml:space="preserve"> D11/SUM(D14:D17)</f>
        <v>12.163689916651</v>
      </c>
      <c r="E53" s="42">
        <f t="shared" ref="E53:O53" si="7" xml:space="preserve"> E11/SUM(E14:E17)</f>
        <v>12.320617337731035</v>
      </c>
      <c r="F53" s="42">
        <f t="shared" si="7"/>
        <v>12.480593325092707</v>
      </c>
      <c r="G53" s="42">
        <f t="shared" si="7"/>
        <v>12.643545515929041</v>
      </c>
      <c r="H53" s="42">
        <f t="shared" si="7"/>
        <v>12.809169613461773</v>
      </c>
      <c r="I53" s="42">
        <f t="shared" si="7"/>
        <v>12.976625893181543</v>
      </c>
      <c r="J53" s="42">
        <f t="shared" si="7"/>
        <v>13.147909774436091</v>
      </c>
      <c r="K53" s="42">
        <f t="shared" si="7"/>
        <v>13.322736779205258</v>
      </c>
      <c r="L53" s="42">
        <f t="shared" si="7"/>
        <v>13.500504600771743</v>
      </c>
      <c r="M53" s="42">
        <f t="shared" si="7"/>
        <v>13.681156001179593</v>
      </c>
      <c r="N53" s="42">
        <f t="shared" si="7"/>
        <v>13.865682137834037</v>
      </c>
      <c r="O53" s="42">
        <f t="shared" si="7"/>
        <v>14.052404797950389</v>
      </c>
    </row>
    <row r="54" spans="1:15" ht="15" thickTop="1" x14ac:dyDescent="0.35"/>
    <row r="55" spans="1:15" x14ac:dyDescent="0.35">
      <c r="C55" s="8" t="s">
        <v>52</v>
      </c>
    </row>
    <row r="56" spans="1:15" x14ac:dyDescent="0.35">
      <c r="A56" t="s">
        <v>52</v>
      </c>
      <c r="B56" t="s">
        <v>53</v>
      </c>
      <c r="C56" s="8" t="s">
        <v>53</v>
      </c>
    </row>
    <row r="57" spans="1:15" x14ac:dyDescent="0.35">
      <c r="A57" t="s">
        <v>52</v>
      </c>
      <c r="B57" t="s">
        <v>53</v>
      </c>
      <c r="C57" t="s">
        <v>15</v>
      </c>
      <c r="D57" s="14" cm="1">
        <f t="array" ref="D57" xml:space="preserve"> _xlfn.LET(_xlpm.channel, $C57,
_xlpm.orders, _xlfn.XLOOKUP(_xlpm.channel, $C$32:$C$37, D$32:D$37),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441990</v>
      </c>
      <c r="E57" s="14" cm="1">
        <f t="array" ref="E57" xml:space="preserve"> _xlfn.LET(_xlpm.channel, $C57,
_xlpm.orders, _xlfn.XLOOKUP(_xlpm.channel, $C$32:$C$37, E$32:E$37),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448775.24</v>
      </c>
      <c r="F57" s="14" cm="1">
        <f t="array" ref="F57" xml:space="preserve"> _xlfn.LET(_xlpm.channel, $C57,
_xlpm.orders, _xlfn.XLOOKUP(_xlpm.channel, $C$32:$C$37, F$32:F$37),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455693.18</v>
      </c>
      <c r="G57" s="14" cm="1">
        <f t="array" ref="G57" xml:space="preserve"> _xlfn.LET(_xlpm.channel, $C57,
_xlpm.orders, _xlfn.XLOOKUP(_xlpm.channel, $C$32:$C$37, G$32:G$37),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462563.11</v>
      </c>
      <c r="H57" s="14" cm="1">
        <f t="array" ref="H57" xml:space="preserve"> _xlfn.LET(_xlpm.channel, $C57,
_xlpm.orders, _xlfn.XLOOKUP(_xlpm.channel, $C$32:$C$37, H$32:H$37),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469475.55</v>
      </c>
      <c r="I57" s="14" cm="1">
        <f t="array" ref="I57" xml:space="preserve"> _xlfn.LET(_xlpm.channel, $C57,
_xlpm.orders, _xlfn.XLOOKUP(_xlpm.channel, $C$32:$C$37, I$32:I$37),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476522.29</v>
      </c>
      <c r="J57" s="14" cm="1">
        <f t="array" ref="J57" xml:space="preserve"> _xlfn.LET(_xlpm.channel, $C57,
_xlpm.orders, _xlfn.XLOOKUP(_xlpm.channel, $C$32:$C$37, J$32:J$37),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483612.61</v>
      </c>
      <c r="K57" s="14" cm="1">
        <f t="array" ref="K57" xml:space="preserve"> _xlfn.LET(_xlpm.channel, $C57,
_xlpm.orders, _xlfn.XLOOKUP(_xlpm.channel, $C$32:$C$37, K$32:K$37),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490654.49</v>
      </c>
      <c r="L57" s="14" cm="1">
        <f t="array" ref="L57" xml:space="preserve"> _xlfn.LET(_xlpm.channel, $C57,
_xlpm.orders, _xlfn.XLOOKUP(_xlpm.channel, $C$32:$C$37, L$32:L$37),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497924.85</v>
      </c>
      <c r="M57" s="14" cm="1">
        <f t="array" ref="M57" xml:space="preserve"> _xlfn.LET(_xlpm.channel, $C57,
_xlpm.orders, _xlfn.XLOOKUP(_xlpm.channel, $C$32:$C$37, M$32:M$37),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505147.21</v>
      </c>
      <c r="N57" s="14" cm="1">
        <f t="array" ref="N57" xml:space="preserve"> _xlfn.LET(_xlpm.channel, $C57,
_xlpm.orders, _xlfn.XLOOKUP(_xlpm.channel, $C$32:$C$37, N$32:N$37),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512414.03</v>
      </c>
      <c r="O57" s="14" cm="1">
        <f t="array" ref="O57" xml:space="preserve"> _xlfn.LET(_xlpm.channel, $C57,
_xlpm.orders, _xlfn.XLOOKUP(_xlpm.channel, $C$32:$C$37, O$32:O$37),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519819.06</v>
      </c>
    </row>
    <row r="58" spans="1:15" x14ac:dyDescent="0.35">
      <c r="A58" t="s">
        <v>52</v>
      </c>
      <c r="B58" t="s">
        <v>53</v>
      </c>
      <c r="C58" t="s">
        <v>16</v>
      </c>
      <c r="D58" s="14" cm="1">
        <f t="array" ref="D58" xml:space="preserve"> _xlfn.LET(_xlpm.channel, $C58,
_xlpm.orders, _xlfn.XLOOKUP(_xlpm.channel, $C$32:$C$37, D$32:D$37),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302190</v>
      </c>
      <c r="E58" s="14" cm="1">
        <f t="array" ref="E58" xml:space="preserve"> _xlfn.LET(_xlpm.channel, $C58,
_xlpm.orders, _xlfn.XLOOKUP(_xlpm.channel, $C$32:$C$37, E$32:E$37),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305846.73</v>
      </c>
      <c r="F58" s="14" cm="1">
        <f t="array" ref="F58" xml:space="preserve"> _xlfn.LET(_xlpm.channel, $C58,
_xlpm.orders, _xlfn.XLOOKUP(_xlpm.channel, $C$32:$C$37, F$32:F$37),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309595.84999999998</v>
      </c>
      <c r="G58" s="14" cm="1">
        <f t="array" ref="G58" xml:space="preserve"> _xlfn.LET(_xlpm.channel, $C58,
_xlpm.orders, _xlfn.XLOOKUP(_xlpm.channel, $C$32:$C$37, G$32:G$37),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313296.71999999997</v>
      </c>
      <c r="H58" s="14" cm="1">
        <f t="array" ref="H58" xml:space="preserve"> _xlfn.LET(_xlpm.channel, $C58,
_xlpm.orders, _xlfn.XLOOKUP(_xlpm.channel, $C$32:$C$37, H$32:H$37),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317090.7</v>
      </c>
      <c r="I58" s="14" cm="1">
        <f t="array" ref="I58" xml:space="preserve"> _xlfn.LET(_xlpm.channel, $C58,
_xlpm.orders, _xlfn.XLOOKUP(_xlpm.channel, $C$32:$C$37, I$32:I$37),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320836.15999999997</v>
      </c>
      <c r="J58" s="14" cm="1">
        <f t="array" ref="J58" xml:space="preserve"> _xlfn.LET(_xlpm.channel, $C58,
_xlpm.orders, _xlfn.XLOOKUP(_xlpm.channel, $C$32:$C$37, J$32:J$37),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324532.46999999997</v>
      </c>
      <c r="K58" s="14" cm="1">
        <f t="array" ref="K58" xml:space="preserve"> _xlfn.LET(_xlpm.channel, $C58,
_xlpm.orders, _xlfn.XLOOKUP(_xlpm.channel, $C$32:$C$37, K$32:K$37),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328394.19</v>
      </c>
      <c r="L58" s="14" cm="1">
        <f t="array" ref="L58" xml:space="preserve"> _xlfn.LET(_xlpm.channel, $C58,
_xlpm.orders, _xlfn.XLOOKUP(_xlpm.channel, $C$32:$C$37, L$32:L$37),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332135</v>
      </c>
      <c r="M58" s="14" cm="1">
        <f t="array" ref="M58" xml:space="preserve"> _xlfn.LET(_xlpm.channel, $C58,
_xlpm.orders, _xlfn.XLOOKUP(_xlpm.channel, $C$32:$C$37, M$32:M$37),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335897.97</v>
      </c>
      <c r="N58" s="14" cm="1">
        <f t="array" ref="N58" xml:space="preserve"> _xlfn.LET(_xlpm.channel, $C58,
_xlpm.orders, _xlfn.XLOOKUP(_xlpm.channel, $C$32:$C$37, N$32:N$37),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339755.71</v>
      </c>
      <c r="O58" s="14" cm="1">
        <f t="array" ref="O58" xml:space="preserve"> _xlfn.LET(_xlpm.channel, $C58,
_xlpm.orders, _xlfn.XLOOKUP(_xlpm.channel, $C$32:$C$37, O$32:O$37),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343563.59</v>
      </c>
    </row>
    <row r="59" spans="1:15" x14ac:dyDescent="0.35">
      <c r="A59" t="s">
        <v>52</v>
      </c>
      <c r="B59" t="s">
        <v>53</v>
      </c>
      <c r="C59" t="s">
        <v>17</v>
      </c>
      <c r="D59" s="14" cm="1">
        <f t="array" ref="D59" xml:space="preserve"> _xlfn.LET(_xlpm.channel, $C59,
_xlpm.orders, _xlfn.XLOOKUP(_xlpm.channel, $C$32:$C$37, D$32:D$37),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432650</v>
      </c>
      <c r="E59" s="14" cm="1">
        <f t="array" ref="E59" xml:space="preserve"> _xlfn.LET(_xlpm.channel, $C59,
_xlpm.orders, _xlfn.XLOOKUP(_xlpm.channel, $C$32:$C$37, E$32:E$37),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436467.31</v>
      </c>
      <c r="F59" s="14" cm="1">
        <f t="array" ref="F59" xml:space="preserve"> _xlfn.LET(_xlpm.channel, $C59,
_xlpm.orders, _xlfn.XLOOKUP(_xlpm.channel, $C$32:$C$37, F$32:F$37),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440134.84</v>
      </c>
      <c r="G59" s="14" cm="1">
        <f t="array" ref="G59" xml:space="preserve"> _xlfn.LET(_xlpm.channel, $C59,
_xlpm.orders, _xlfn.XLOOKUP(_xlpm.channel, $C$32:$C$37, G$32:G$37),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443822.71</v>
      </c>
      <c r="H59" s="14" cm="1">
        <f t="array" ref="H59" xml:space="preserve"> _xlfn.LET(_xlpm.channel, $C59,
_xlpm.orders, _xlfn.XLOOKUP(_xlpm.channel, $C$32:$C$37, H$32:H$37),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447617.19</v>
      </c>
      <c r="I59" s="14" cm="1">
        <f t="array" ref="I59" xml:space="preserve"> _xlfn.LET(_xlpm.channel, $C59,
_xlpm.orders, _xlfn.XLOOKUP(_xlpm.channel, $C$32:$C$37, I$32:I$37),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451346.3</v>
      </c>
      <c r="J59" s="14" cm="1">
        <f t="array" ref="J59" xml:space="preserve"> _xlfn.LET(_xlpm.channel, $C59,
_xlpm.orders, _xlfn.XLOOKUP(_xlpm.channel, $C$32:$C$37, J$32:J$37),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455096.03</v>
      </c>
      <c r="K59" s="14" cm="1">
        <f t="array" ref="K59" xml:space="preserve"> _xlfn.LET(_xlpm.channel, $C59,
_xlpm.orders, _xlfn.XLOOKUP(_xlpm.channel, $C$32:$C$37, K$32:K$37),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458779.37</v>
      </c>
      <c r="L59" s="14" cm="1">
        <f t="array" ref="L59" xml:space="preserve"> _xlfn.LET(_xlpm.channel, $C59,
_xlpm.orders, _xlfn.XLOOKUP(_xlpm.channel, $C$32:$C$37, L$32:L$37),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462570.33</v>
      </c>
      <c r="M59" s="14" cm="1">
        <f t="array" ref="M59" xml:space="preserve"> _xlfn.LET(_xlpm.channel, $C59,
_xlpm.orders, _xlfn.XLOOKUP(_xlpm.channel, $C$32:$C$37, M$32:M$37),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466294.5</v>
      </c>
      <c r="N59" s="14" cm="1">
        <f t="array" ref="N59" xml:space="preserve"> _xlfn.LET(_xlpm.channel, $C59,
_xlpm.orders, _xlfn.XLOOKUP(_xlpm.channel, $C$32:$C$37, N$32:N$37),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469951.04</v>
      </c>
      <c r="O59" s="14" cm="1">
        <f t="array" ref="O59" xml:space="preserve"> _xlfn.LET(_xlpm.channel, $C59,
_xlpm.orders, _xlfn.XLOOKUP(_xlpm.channel, $C$32:$C$37, O$32:O$37),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473715.8</v>
      </c>
    </row>
    <row r="60" spans="1:15" x14ac:dyDescent="0.35">
      <c r="A60" t="s">
        <v>52</v>
      </c>
      <c r="B60" t="s">
        <v>53</v>
      </c>
      <c r="C60" t="s">
        <v>18</v>
      </c>
      <c r="D60" s="14" cm="1">
        <f t="array" ref="D60" xml:space="preserve"> _xlfn.LET(_xlpm.channel, $C60,
_xlpm.orders, _xlfn.XLOOKUP(_xlpm.channel, $C$32:$C$37, D$32:D$37),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242400</v>
      </c>
      <c r="E60" s="14" cm="1">
        <f t="array" ref="E60" xml:space="preserve"> _xlfn.LET(_xlpm.channel, $C60,
_xlpm.orders, _xlfn.XLOOKUP(_xlpm.channel, $C$32:$C$37, E$32:E$37),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243398.93</v>
      </c>
      <c r="F60" s="14" cm="1">
        <f t="array" ref="F60" xml:space="preserve"> _xlfn.LET(_xlpm.channel, $C60,
_xlpm.orders, _xlfn.XLOOKUP(_xlpm.channel, $C$32:$C$37, F$32:F$37),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244326.35</v>
      </c>
      <c r="G60" s="14" cm="1">
        <f t="array" ref="G60" xml:space="preserve"> _xlfn.LET(_xlpm.channel, $C60,
_xlpm.orders, _xlfn.XLOOKUP(_xlpm.channel, $C$32:$C$37, G$32:G$37),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245257.28</v>
      </c>
      <c r="H60" s="14" cm="1">
        <f t="array" ref="H60" xml:space="preserve"> _xlfn.LET(_xlpm.channel, $C60,
_xlpm.orders, _xlfn.XLOOKUP(_xlpm.channel, $C$32:$C$37, H$32:H$37),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246191.74</v>
      </c>
      <c r="I60" s="14" cm="1">
        <f t="array" ref="I60" xml:space="preserve"> _xlfn.LET(_xlpm.channel, $C60,
_xlpm.orders, _xlfn.XLOOKUP(_xlpm.channel, $C$32:$C$37, I$32:I$37),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247206.05</v>
      </c>
      <c r="J60" s="14" cm="1">
        <f t="array" ref="J60" xml:space="preserve"> _xlfn.LET(_xlpm.channel, $C60,
_xlpm.orders, _xlfn.XLOOKUP(_xlpm.channel, $C$32:$C$37, J$32:J$37),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248147.86</v>
      </c>
      <c r="K60" s="14" cm="1">
        <f t="array" ref="K60" xml:space="preserve"> _xlfn.LET(_xlpm.channel, $C60,
_xlpm.orders, _xlfn.XLOOKUP(_xlpm.channel, $C$32:$C$37, K$32:K$37),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249093.23</v>
      </c>
      <c r="L60" s="14" cm="1">
        <f t="array" ref="L60" xml:space="preserve"> _xlfn.LET(_xlpm.channel, $C60,
_xlpm.orders, _xlfn.XLOOKUP(_xlpm.channel, $C$32:$C$37, L$32:L$37),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250042.19</v>
      </c>
      <c r="M60" s="14" cm="1">
        <f t="array" ref="M60" xml:space="preserve"> _xlfn.LET(_xlpm.channel, $C60,
_xlpm.orders, _xlfn.XLOOKUP(_xlpm.channel, $C$32:$C$37, M$32:M$37),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250994.73</v>
      </c>
      <c r="N60" s="14" cm="1">
        <f t="array" ref="N60" xml:space="preserve"> _xlfn.LET(_xlpm.channel, $C60,
_xlpm.orders, _xlfn.XLOOKUP(_xlpm.channel, $C$32:$C$37, N$32:N$37),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252028.55</v>
      </c>
      <c r="O60" s="14" cm="1">
        <f t="array" ref="O60" xml:space="preserve"> _xlfn.LET(_xlpm.channel, $C60,
_xlpm.orders, _xlfn.XLOOKUP(_xlpm.channel, $C$32:$C$37, O$32:O$37),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252988.58</v>
      </c>
    </row>
    <row r="61" spans="1:15" x14ac:dyDescent="0.35">
      <c r="A61" t="s">
        <v>52</v>
      </c>
      <c r="B61" t="s">
        <v>53</v>
      </c>
      <c r="C61" t="s">
        <v>43</v>
      </c>
      <c r="D61" s="14" cm="1">
        <f t="array" ref="D61" xml:space="preserve"> _xlfn.LET(_xlpm.channel, $C61,
_xlpm.orders, _xlfn.XLOOKUP(_xlpm.channel, $C$32:$C$37, D$32:D$37),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191400</v>
      </c>
      <c r="E61" s="14" cm="1">
        <f t="array" ref="E61" xml:space="preserve"> _xlfn.LET(_xlpm.channel, $C61,
_xlpm.orders, _xlfn.XLOOKUP(_xlpm.channel, $C$32:$C$37, E$32:E$37),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193474.8</v>
      </c>
      <c r="F61" s="14" cm="1">
        <f t="array" ref="F61" xml:space="preserve"> _xlfn.LET(_xlpm.channel, $C61,
_xlpm.orders, _xlfn.XLOOKUP(_xlpm.channel, $C$32:$C$37, F$32:F$37),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195461.08</v>
      </c>
      <c r="G61" s="14" cm="1">
        <f t="array" ref="G61" xml:space="preserve"> _xlfn.LET(_xlpm.channel, $C61,
_xlpm.orders, _xlfn.XLOOKUP(_xlpm.channel, $C$32:$C$37, G$32:G$37),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197458.89</v>
      </c>
      <c r="H61" s="14" cm="1">
        <f t="array" ref="H61" xml:space="preserve"> _xlfn.LET(_xlpm.channel, $C61,
_xlpm.orders, _xlfn.XLOOKUP(_xlpm.channel, $C$32:$C$37, H$32:H$37),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199569.7</v>
      </c>
      <c r="I61" s="14" cm="1">
        <f t="array" ref="I61" xml:space="preserve"> _xlfn.LET(_xlpm.channel, $C61,
_xlpm.orders, _xlfn.XLOOKUP(_xlpm.channel, $C$32:$C$37, I$32:I$37),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201591.1</v>
      </c>
      <c r="J61" s="14" cm="1">
        <f t="array" ref="J61" xml:space="preserve"> _xlfn.LET(_xlpm.channel, $C61,
_xlpm.orders, _xlfn.XLOOKUP(_xlpm.channel, $C$32:$C$37, J$32:J$37),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203726.33</v>
      </c>
      <c r="K61" s="14" cm="1">
        <f t="array" ref="K61" xml:space="preserve"> _xlfn.LET(_xlpm.channel, $C61,
_xlpm.orders, _xlfn.XLOOKUP(_xlpm.channel, $C$32:$C$37, K$32:K$37),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205771.56</v>
      </c>
      <c r="L61" s="14" cm="1">
        <f t="array" ref="L61" xml:space="preserve"> _xlfn.LET(_xlpm.channel, $C61,
_xlpm.orders, _xlfn.XLOOKUP(_xlpm.channel, $C$32:$C$37, L$32:L$37),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207828.61</v>
      </c>
      <c r="M61" s="14" cm="1">
        <f t="array" ref="M61" xml:space="preserve"> _xlfn.LET(_xlpm.channel, $C61,
_xlpm.orders, _xlfn.XLOOKUP(_xlpm.channel, $C$32:$C$37, M$32:M$37),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209897.54</v>
      </c>
      <c r="N61" s="14" cm="1">
        <f t="array" ref="N61" xml:space="preserve"> _xlfn.LET(_xlpm.channel, $C61,
_xlpm.orders, _xlfn.XLOOKUP(_xlpm.channel, $C$32:$C$37, N$32:N$37),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211978.4</v>
      </c>
      <c r="O61" s="14" cm="1">
        <f t="array" ref="O61" xml:space="preserve"> _xlfn.LET(_xlpm.channel, $C61,
_xlpm.orders, _xlfn.XLOOKUP(_xlpm.channel, $C$32:$C$37, O$32:O$37),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214071.26</v>
      </c>
    </row>
    <row r="62" spans="1:15" x14ac:dyDescent="0.35">
      <c r="A62" t="s">
        <v>52</v>
      </c>
      <c r="B62" t="s">
        <v>53</v>
      </c>
      <c r="C62" t="s">
        <v>44</v>
      </c>
      <c r="D62" s="14" cm="1">
        <f t="array" ref="D62" xml:space="preserve"> _xlfn.LET(_xlpm.channel, $C62,
_xlpm.orders, _xlfn.XLOOKUP(_xlpm.channel, $C$32:$C$37, D$32:D$37),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7300</v>
      </c>
      <c r="E62" s="14" cm="1">
        <f t="array" ref="E62" xml:space="preserve"> _xlfn.LET(_xlpm.channel, $C62,
_xlpm.orders, _xlfn.XLOOKUP(_xlpm.channel, $C$32:$C$37, E$32:E$37),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31409.55</v>
      </c>
      <c r="F62" s="14" cm="1">
        <f t="array" ref="F62" xml:space="preserve"> _xlfn.LET(_xlpm.channel, $C62,
_xlpm.orders, _xlfn.XLOOKUP(_xlpm.channel, $C$32:$C$37, F$32:F$37),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44107.14</v>
      </c>
      <c r="G62" s="14" cm="1">
        <f t="array" ref="G62" xml:space="preserve"> _xlfn.LET(_xlpm.channel, $C62,
_xlpm.orders, _xlfn.XLOOKUP(_xlpm.channel, $C$32:$C$37, G$32:G$37),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54164.77</v>
      </c>
      <c r="H62" s="14" cm="1">
        <f t="array" ref="H62" xml:space="preserve"> _xlfn.LET(_xlpm.channel, $C62,
_xlpm.orders, _xlfn.XLOOKUP(_xlpm.channel, $C$32:$C$37, H$32:H$37),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62061.31</v>
      </c>
      <c r="I62" s="14" cm="1">
        <f t="array" ref="I62" xml:space="preserve"> _xlfn.LET(_xlpm.channel, $C62,
_xlpm.orders, _xlfn.XLOOKUP(_xlpm.channel, $C$32:$C$37, I$32:I$37),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68486.02</v>
      </c>
      <c r="J62" s="14" cm="1">
        <f t="array" ref="J62" xml:space="preserve"> _xlfn.LET(_xlpm.channel, $C62,
_xlpm.orders, _xlfn.XLOOKUP(_xlpm.channel, $C$32:$C$37, J$32:J$37),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73729.53</v>
      </c>
      <c r="K62" s="14" cm="1">
        <f t="array" ref="K62" xml:space="preserve"> _xlfn.LET(_xlpm.channel, $C62,
_xlpm.orders, _xlfn.XLOOKUP(_xlpm.channel, $C$32:$C$37, K$32:K$37),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78086.62</v>
      </c>
      <c r="L62" s="14" cm="1">
        <f t="array" ref="L62" xml:space="preserve"> _xlfn.LET(_xlpm.channel, $C62,
_xlpm.orders, _xlfn.XLOOKUP(_xlpm.channel, $C$32:$C$37, L$32:L$37),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81856.289999999994</v>
      </c>
      <c r="M62" s="14" cm="1">
        <f t="array" ref="M62" xml:space="preserve"> _xlfn.LET(_xlpm.channel, $C62,
_xlpm.orders, _xlfn.XLOOKUP(_xlpm.channel, $C$32:$C$37, M$32:M$37),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85135.43</v>
      </c>
      <c r="N62" s="14" cm="1">
        <f t="array" ref="N62" xml:space="preserve"> _xlfn.LET(_xlpm.channel, $C62,
_xlpm.orders, _xlfn.XLOOKUP(_xlpm.channel, $C$32:$C$37, N$32:N$37),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88022.3</v>
      </c>
      <c r="O62" s="14" cm="1">
        <f t="array" ref="O62" xml:space="preserve"> _xlfn.LET(_xlpm.channel, $C62,
_xlpm.orders, _xlfn.XLOOKUP(_xlpm.channel, $C$32:$C$37, O$32:O$37),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ROUND(_xlpm.orders*_xlpm.aov*_xlpm.aov_multiplier, 2))</f>
        <v>90616.57</v>
      </c>
    </row>
    <row r="63" spans="1:15" x14ac:dyDescent="0.35">
      <c r="C63" s="8" t="s">
        <v>54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1:15" x14ac:dyDescent="0.35">
      <c r="A64" t="s">
        <v>52</v>
      </c>
      <c r="B64" t="s">
        <v>54</v>
      </c>
      <c r="C64" t="s">
        <v>15</v>
      </c>
      <c r="D64" s="14" cm="1">
        <f t="array" ref="D64" xml:space="preserve"> _xlfn.LET(_xlpm.channel, $C64,
_xlpm.orders, _xlfn.XLOOKUP(_xlpm.channel, $C$40:$C$44, D$40:D$44),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98370</v>
      </c>
      <c r="E64" s="14" cm="1">
        <f t="array" ref="E64" xml:space="preserve"> _xlfn.LET(_xlpm.channel, $C64,
_xlpm.orders, _xlfn.XLOOKUP(_xlpm.channel, $C$40:$C$44, E$40:E$44),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139265.73000000001</v>
      </c>
      <c r="F64" s="14" cm="1">
        <f t="array" ref="F64" xml:space="preserve"> _xlfn.LET(_xlpm.channel, $C64,
_xlpm.orders, _xlfn.XLOOKUP(_xlpm.channel, $C$40:$C$44, F$40:F$44),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171111.52</v>
      </c>
      <c r="G64" s="14" cm="1">
        <f t="array" ref="G64" xml:space="preserve"> _xlfn.LET(_xlpm.channel, $C64,
_xlpm.orders, _xlfn.XLOOKUP(_xlpm.channel, $C$40:$C$44, G$40:G$44),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196084.56</v>
      </c>
      <c r="H64" s="14" cm="1">
        <f t="array" ref="H64" xml:space="preserve"> _xlfn.LET(_xlpm.channel, $C64,
_xlpm.orders, _xlfn.XLOOKUP(_xlpm.channel, $C$40:$C$44, H$40:H$44),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215845.58</v>
      </c>
      <c r="I64" s="14" cm="1">
        <f t="array" ref="I64" xml:space="preserve"> _xlfn.LET(_xlpm.channel, $C64,
_xlpm.orders, _xlfn.XLOOKUP(_xlpm.channel, $C$40:$C$44, I$40:I$44),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231712.74</v>
      </c>
      <c r="J64" s="14" cm="1">
        <f t="array" ref="J64" xml:space="preserve"> _xlfn.LET(_xlpm.channel, $C64,
_xlpm.orders, _xlfn.XLOOKUP(_xlpm.channel, $C$40:$C$44, J$40:J$44),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244747.32</v>
      </c>
      <c r="K64" s="14" cm="1">
        <f t="array" ref="K64" xml:space="preserve"> _xlfn.LET(_xlpm.channel, $C64,
_xlpm.orders, _xlfn.XLOOKUP(_xlpm.channel, $C$40:$C$44, K$40:K$44),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255564.59</v>
      </c>
      <c r="L64" s="14" cm="1">
        <f t="array" ref="L64" xml:space="preserve"> _xlfn.LET(_xlpm.channel, $C64,
_xlpm.orders, _xlfn.XLOOKUP(_xlpm.channel, $C$40:$C$44, L$40:L$44),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264788.65999999997</v>
      </c>
      <c r="M64" s="14" cm="1">
        <f t="array" ref="M64" xml:space="preserve"> _xlfn.LET(_xlpm.channel, $C64,
_xlpm.orders, _xlfn.XLOOKUP(_xlpm.channel, $C$40:$C$44, M$40:M$44),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272773.92</v>
      </c>
      <c r="N64" s="14" cm="1">
        <f t="array" ref="N64" xml:space="preserve"> _xlfn.LET(_xlpm.channel, $C64,
_xlpm.orders, _xlfn.XLOOKUP(_xlpm.channel, $C$40:$C$44, N$40:N$44),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279786.64</v>
      </c>
      <c r="O64" s="14" cm="1">
        <f t="array" ref="O64" xml:space="preserve"> _xlfn.LET(_xlpm.channel, $C64,
_xlpm.orders, _xlfn.XLOOKUP(_xlpm.channel, $C$40:$C$44, O$40:O$44),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286190.40999999997</v>
      </c>
    </row>
    <row r="65" spans="1:15" x14ac:dyDescent="0.35">
      <c r="A65" t="s">
        <v>52</v>
      </c>
      <c r="B65" t="s">
        <v>54</v>
      </c>
      <c r="C65" t="s">
        <v>16</v>
      </c>
      <c r="D65" s="14" cm="1">
        <f t="array" ref="D65" xml:space="preserve"> _xlfn.LET(_xlpm.channel, $C65,
_xlpm.orders, _xlfn.XLOOKUP(_xlpm.channel, $C$40:$C$44, D$40:D$44),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67550</v>
      </c>
      <c r="E65" s="14" cm="1">
        <f t="array" ref="E65" xml:space="preserve"> _xlfn.LET(_xlpm.channel, $C65,
_xlpm.orders, _xlfn.XLOOKUP(_xlpm.channel, $C$40:$C$44, E$40:E$44),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95322.47</v>
      </c>
      <c r="F65" s="14" cm="1">
        <f t="array" ref="F65" xml:space="preserve"> _xlfn.LET(_xlpm.channel, $C65,
_xlpm.orders, _xlfn.XLOOKUP(_xlpm.channel, $C$40:$C$44, F$40:F$44),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116732.86</v>
      </c>
      <c r="G65" s="14" cm="1">
        <f t="array" ref="G65" xml:space="preserve"> _xlfn.LET(_xlpm.channel, $C65,
_xlpm.orders, _xlfn.XLOOKUP(_xlpm.channel, $C$40:$C$44, G$40:G$44),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133411.07</v>
      </c>
      <c r="H65" s="14" cm="1">
        <f t="array" ref="H65" xml:space="preserve"> _xlfn.LET(_xlpm.channel, $C65,
_xlpm.orders, _xlfn.XLOOKUP(_xlpm.channel, $C$40:$C$44, H$40:H$44),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146513.35999999999</v>
      </c>
      <c r="I65" s="14" cm="1">
        <f t="array" ref="I65" xml:space="preserve"> _xlfn.LET(_xlpm.channel, $C65,
_xlpm.orders, _xlfn.XLOOKUP(_xlpm.channel, $C$40:$C$44, I$40:I$44),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156927.63</v>
      </c>
      <c r="J65" s="14" cm="1">
        <f t="array" ref="J65" xml:space="preserve"> _xlfn.LET(_xlpm.channel, $C65,
_xlpm.orders, _xlfn.XLOOKUP(_xlpm.channel, $C$40:$C$44, J$40:J$44),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165340</v>
      </c>
      <c r="K65" s="14" cm="1">
        <f t="array" ref="K65" xml:space="preserve"> _xlfn.LET(_xlpm.channel, $C65,
_xlpm.orders, _xlfn.XLOOKUP(_xlpm.channel, $C$40:$C$44, K$40:K$44),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172159.47</v>
      </c>
      <c r="L65" s="14" cm="1">
        <f t="array" ref="L65" xml:space="preserve"> _xlfn.LET(_xlpm.channel, $C65,
_xlpm.orders, _xlfn.XLOOKUP(_xlpm.channel, $C$40:$C$44, L$40:L$44),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177872.91</v>
      </c>
      <c r="M65" s="14" cm="1">
        <f t="array" ref="M65" xml:space="preserve"> _xlfn.LET(_xlpm.channel, $C65,
_xlpm.orders, _xlfn.XLOOKUP(_xlpm.channel, $C$40:$C$44, M$40:M$44),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182757.39</v>
      </c>
      <c r="N65" s="14" cm="1">
        <f t="array" ref="N65" xml:space="preserve"> _xlfn.LET(_xlpm.channel, $C65,
_xlpm.orders, _xlfn.XLOOKUP(_xlpm.channel, $C$40:$C$44, N$40:N$44),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186949</v>
      </c>
      <c r="O65" s="14" cm="1">
        <f t="array" ref="O65" xml:space="preserve"> _xlfn.LET(_xlpm.channel, $C65,
_xlpm.orders, _xlfn.XLOOKUP(_xlpm.channel, $C$40:$C$44, O$40:O$44),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190658.51</v>
      </c>
    </row>
    <row r="66" spans="1:15" x14ac:dyDescent="0.35">
      <c r="A66" t="s">
        <v>52</v>
      </c>
      <c r="B66" t="s">
        <v>54</v>
      </c>
      <c r="C66" t="s">
        <v>17</v>
      </c>
      <c r="D66" s="14" cm="1">
        <f t="array" ref="D66" xml:space="preserve"> _xlfn.LET(_xlpm.channel, $C66,
_xlpm.orders, _xlfn.XLOOKUP(_xlpm.channel, $C$40:$C$44, D$40:D$44),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92225</v>
      </c>
      <c r="E66" s="14" cm="1">
        <f t="array" ref="E66" xml:space="preserve"> _xlfn.LET(_xlpm.channel, $C66,
_xlpm.orders, _xlfn.XLOOKUP(_xlpm.channel, $C$40:$C$44, E$40:E$44),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132893.51</v>
      </c>
      <c r="F66" s="14" cm="1">
        <f t="array" ref="F66" xml:space="preserve"> _xlfn.LET(_xlpm.channel, $C66,
_xlpm.orders, _xlfn.XLOOKUP(_xlpm.channel, $C$40:$C$44, F$40:F$44),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164002.01999999999</v>
      </c>
      <c r="G66" s="14" cm="1">
        <f t="array" ref="G66" xml:space="preserve"> _xlfn.LET(_xlpm.channel, $C66,
_xlpm.orders, _xlfn.XLOOKUP(_xlpm.channel, $C$40:$C$44, G$40:G$44),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188025.53</v>
      </c>
      <c r="H66" s="14" cm="1">
        <f t="array" ref="H66" xml:space="preserve"> _xlfn.LET(_xlpm.channel, $C66,
_xlpm.orders, _xlfn.XLOOKUP(_xlpm.channel, $C$40:$C$44, H$40:H$44),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206612.44</v>
      </c>
      <c r="I66" s="14" cm="1">
        <f t="array" ref="I66" xml:space="preserve"> _xlfn.LET(_xlpm.channel, $C66,
_xlpm.orders, _xlfn.XLOOKUP(_xlpm.channel, $C$40:$C$44, I$40:I$44),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221175.26</v>
      </c>
      <c r="J66" s="14" cm="1">
        <f t="array" ref="J66" xml:space="preserve"> _xlfn.LET(_xlpm.channel, $C66,
_xlpm.orders, _xlfn.XLOOKUP(_xlpm.channel, $C$40:$C$44, J$40:J$44),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232625.85</v>
      </c>
      <c r="K66" s="14" cm="1">
        <f t="array" ref="K66" xml:space="preserve"> _xlfn.LET(_xlpm.channel, $C66,
_xlpm.orders, _xlfn.XLOOKUP(_xlpm.channel, $C$40:$C$44, K$40:K$44),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241802.08</v>
      </c>
      <c r="L66" s="14" cm="1">
        <f t="array" ref="L66" xml:space="preserve"> _xlfn.LET(_xlpm.channel, $C66,
_xlpm.orders, _xlfn.XLOOKUP(_xlpm.channel, $C$40:$C$44, L$40:L$44),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249291.49</v>
      </c>
      <c r="M66" s="14" cm="1">
        <f t="array" ref="M66" xml:space="preserve"> _xlfn.LET(_xlpm.channel, $C66,
_xlpm.orders, _xlfn.XLOOKUP(_xlpm.channel, $C$40:$C$44, M$40:M$44),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255426.93</v>
      </c>
      <c r="N66" s="14" cm="1">
        <f t="array" ref="N66" xml:space="preserve"> _xlfn.LET(_xlpm.channel, $C66,
_xlpm.orders, _xlfn.XLOOKUP(_xlpm.channel, $C$40:$C$44, N$40:N$44),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260546</v>
      </c>
      <c r="O66" s="14" cm="1">
        <f t="array" ref="O66" xml:space="preserve"> _xlfn.LET(_xlpm.channel, $C66,
_xlpm.orders, _xlfn.XLOOKUP(_xlpm.channel, $C$40:$C$44, O$40:O$44),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264991.12</v>
      </c>
    </row>
    <row r="67" spans="1:15" x14ac:dyDescent="0.35">
      <c r="A67" t="s">
        <v>52</v>
      </c>
      <c r="B67" t="s">
        <v>54</v>
      </c>
      <c r="C67" t="s">
        <v>18</v>
      </c>
      <c r="D67" s="14" cm="1">
        <f t="array" ref="D67" xml:space="preserve"> _xlfn.LET(_xlpm.channel, $C67,
_xlpm.orders, _xlfn.XLOOKUP(_xlpm.channel, $C$40:$C$44, D$40:D$44),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47025</v>
      </c>
      <c r="E67" s="14" cm="1">
        <f t="array" ref="E67" xml:space="preserve"> _xlfn.LET(_xlpm.channel, $C67,
_xlpm.orders, _xlfn.XLOOKUP(_xlpm.channel, $C$40:$C$44, E$40:E$44),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70822.009999999995</v>
      </c>
      <c r="F67" s="14" cm="1">
        <f t="array" ref="F67" xml:space="preserve"> _xlfn.LET(_xlpm.channel, $C67,
_xlpm.orders, _xlfn.XLOOKUP(_xlpm.channel, $C$40:$C$44, F$40:F$44),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88818.48</v>
      </c>
      <c r="G67" s="14" cm="1">
        <f t="array" ref="G67" xml:space="preserve"> _xlfn.LET(_xlpm.channel, $C67,
_xlpm.orders, _xlfn.XLOOKUP(_xlpm.channel, $C$40:$C$44, G$40:G$44),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102544.22</v>
      </c>
      <c r="H67" s="14" cm="1">
        <f t="array" ref="H67" xml:space="preserve"> _xlfn.LET(_xlpm.channel, $C67,
_xlpm.orders, _xlfn.XLOOKUP(_xlpm.channel, $C$40:$C$44, H$40:H$44),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112942.46</v>
      </c>
      <c r="I67" s="14" cm="1">
        <f t="array" ref="I67" xml:space="preserve"> _xlfn.LET(_xlpm.channel, $C67,
_xlpm.orders, _xlfn.XLOOKUP(_xlpm.channel, $C$40:$C$44, I$40:I$44),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120969.93</v>
      </c>
      <c r="J67" s="14" cm="1">
        <f t="array" ref="J67" xml:space="preserve"> _xlfn.LET(_xlpm.channel, $C67,
_xlpm.orders, _xlfn.XLOOKUP(_xlpm.channel, $C$40:$C$44, J$40:J$44),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127137.48</v>
      </c>
      <c r="K67" s="14" cm="1">
        <f t="array" ref="K67" xml:space="preserve"> _xlfn.LET(_xlpm.channel, $C67,
_xlpm.orders, _xlfn.XLOOKUP(_xlpm.channel, $C$40:$C$44, K$40:K$44),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131886.45000000001</v>
      </c>
      <c r="L67" s="14" cm="1">
        <f t="array" ref="L67" xml:space="preserve"> _xlfn.LET(_xlpm.channel, $C67,
_xlpm.orders, _xlfn.XLOOKUP(_xlpm.channel, $C$40:$C$44, L$40:L$44),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135664.47</v>
      </c>
      <c r="M67" s="14" cm="1">
        <f t="array" ref="M67" xml:space="preserve"> _xlfn.LET(_xlpm.channel, $C67,
_xlpm.orders, _xlfn.XLOOKUP(_xlpm.channel, $C$40:$C$44, M$40:M$44),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138615.96</v>
      </c>
      <c r="N67" s="14" cm="1">
        <f t="array" ref="N67" xml:space="preserve"> _xlfn.LET(_xlpm.channel, $C67,
_xlpm.orders, _xlfn.XLOOKUP(_xlpm.channel, $C$40:$C$44, N$40:N$44),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140965.12</v>
      </c>
      <c r="O67" s="14" cm="1">
        <f t="array" ref="O67" xml:space="preserve"> _xlfn.LET(_xlpm.channel, $C67,
_xlpm.orders, _xlfn.XLOOKUP(_xlpm.channel, $C$40:$C$44, O$40:O$44),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142861.39000000001</v>
      </c>
    </row>
    <row r="68" spans="1:15" x14ac:dyDescent="0.35">
      <c r="A68" t="s">
        <v>52</v>
      </c>
      <c r="B68" t="s">
        <v>54</v>
      </c>
      <c r="C68" t="s">
        <v>20</v>
      </c>
      <c r="D68" s="14" cm="1">
        <f t="array" ref="D68" xml:space="preserve"> _xlfn.LET(_xlpm.channel, $C68,
_xlpm.orders, _xlfn.XLOOKUP(_xlpm.channel, $C$40:$C$44, D$40:D$44),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40900</v>
      </c>
      <c r="E68" s="14" cm="1">
        <f t="array" ref="E68" xml:space="preserve"> _xlfn.LET(_xlpm.channel, $C68,
_xlpm.orders, _xlfn.XLOOKUP(_xlpm.channel, $C$40:$C$44, E$40:E$44),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45257.85</v>
      </c>
      <c r="F68" s="14" cm="1">
        <f t="array" ref="F68" xml:space="preserve"> _xlfn.LET(_xlpm.channel, $C68,
_xlpm.orders, _xlfn.XLOOKUP(_xlpm.channel, $C$40:$C$44, F$40:F$44),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51357.62</v>
      </c>
      <c r="G68" s="14" cm="1">
        <f t="array" ref="G68" xml:space="preserve"> _xlfn.LET(_xlpm.channel, $C68,
_xlpm.orders, _xlfn.XLOOKUP(_xlpm.channel, $C$40:$C$44, G$40:G$44),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58712.19</v>
      </c>
      <c r="H68" s="14" cm="1">
        <f t="array" ref="H68" xml:space="preserve"> _xlfn.LET(_xlpm.channel, $C68,
_xlpm.orders, _xlfn.XLOOKUP(_xlpm.channel, $C$40:$C$44, H$40:H$44),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67233.08</v>
      </c>
      <c r="I68" s="14" cm="1">
        <f t="array" ref="I68" xml:space="preserve"> _xlfn.LET(_xlpm.channel, $C68,
_xlpm.orders, _xlfn.XLOOKUP(_xlpm.channel, $C$40:$C$44, I$40:I$44),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76627.009999999995</v>
      </c>
      <c r="J68" s="14" cm="1">
        <f t="array" ref="J68" xml:space="preserve"> _xlfn.LET(_xlpm.channel, $C68,
_xlpm.orders, _xlfn.XLOOKUP(_xlpm.channel, $C$40:$C$44, J$40:J$44),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86698.57</v>
      </c>
      <c r="K68" s="14" cm="1">
        <f t="array" ref="K68" xml:space="preserve"> _xlfn.LET(_xlpm.channel, $C68,
_xlpm.orders, _xlfn.XLOOKUP(_xlpm.channel, $C$40:$C$44, K$40:K$44),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97454.56</v>
      </c>
      <c r="L68" s="14" cm="1">
        <f t="array" ref="L68" xml:space="preserve"> _xlfn.LET(_xlpm.channel, $C68,
_xlpm.orders, _xlfn.XLOOKUP(_xlpm.channel, $C$40:$C$44, L$40:L$44),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108696.11</v>
      </c>
      <c r="M68" s="14" cm="1">
        <f t="array" ref="M68" xml:space="preserve"> _xlfn.LET(_xlpm.channel, $C68,
_xlpm.orders, _xlfn.XLOOKUP(_xlpm.channel, $C$40:$C$44, M$40:M$44),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120427.94</v>
      </c>
      <c r="N68" s="14" cm="1">
        <f t="array" ref="N68" xml:space="preserve"> _xlfn.LET(_xlpm.channel, $C68,
_xlpm.orders, _xlfn.XLOOKUP(_xlpm.channel, $C$40:$C$44, N$40:N$44),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132551.22</v>
      </c>
      <c r="O68" s="14" cm="1">
        <f t="array" ref="O68" xml:space="preserve"> _xlfn.LET(_xlpm.channel, $C68,
_xlpm.orders, _xlfn.XLOOKUP(_xlpm.channel, $C$40:$C$44, O$40:O$44),
_xlpm.aov, _xlfn.XLOOKUP(_xlpm.channel, tbl_Channels[[Channel]:[Channel]], tbl_Channels[[aov]:[aov]],
          _xlfn.XLOOKUP("Organic", tbl_Organic[[Channel]:[Channel]], tbl_Organic[[aov]:[aov]])),
_xlpm.aov_multiplier, POWER(1+aov_g_pct, _xlfn.SINGLE(period_number)-1),
ROUND(_xlpm.orders * _xlpm.aov * _xlpm.aov_multiplier, 2))</f>
        <v>145069.65</v>
      </c>
    </row>
    <row r="69" spans="1:15" ht="15" thickBot="1" x14ac:dyDescent="0.4">
      <c r="C69" s="29" t="s">
        <v>58</v>
      </c>
      <c r="D69" s="31">
        <f xml:space="preserve"> SUM(D57:D68)</f>
        <v>1964000</v>
      </c>
      <c r="E69" s="31">
        <f t="shared" ref="E69:O69" si="8" xml:space="preserve"> SUM(E57:E68)</f>
        <v>2142934.13</v>
      </c>
      <c r="F69" s="31">
        <f t="shared" si="8"/>
        <v>2281340.9400000004</v>
      </c>
      <c r="G69" s="31">
        <f t="shared" si="8"/>
        <v>2395341.0500000003</v>
      </c>
      <c r="H69" s="31">
        <f t="shared" si="8"/>
        <v>2491153.11</v>
      </c>
      <c r="I69" s="31">
        <f t="shared" si="8"/>
        <v>2573400.4899999998</v>
      </c>
      <c r="J69" s="31">
        <f t="shared" si="8"/>
        <v>2645394.0499999998</v>
      </c>
      <c r="K69" s="31">
        <f t="shared" si="8"/>
        <v>2709646.6100000003</v>
      </c>
      <c r="L69" s="31">
        <f t="shared" si="8"/>
        <v>2768670.91</v>
      </c>
      <c r="M69" s="31">
        <f t="shared" si="8"/>
        <v>2823369.52</v>
      </c>
      <c r="N69" s="31">
        <f t="shared" si="8"/>
        <v>2874948.0100000002</v>
      </c>
      <c r="O69" s="31">
        <f t="shared" si="8"/>
        <v>2924545.9400000004</v>
      </c>
    </row>
    <row r="70" spans="1:15" ht="15" thickTop="1" x14ac:dyDescent="0.35">
      <c r="C70" t="s">
        <v>56</v>
      </c>
      <c r="D70" s="43">
        <f t="shared" ref="D70:O70" si="9" xml:space="preserve"> returns_discounts_pct*D69</f>
        <v>353520</v>
      </c>
      <c r="E70" s="43">
        <f t="shared" si="9"/>
        <v>385728.14339999994</v>
      </c>
      <c r="F70" s="43">
        <f t="shared" si="9"/>
        <v>410641.36920000007</v>
      </c>
      <c r="G70" s="43">
        <f t="shared" si="9"/>
        <v>431161.38900000002</v>
      </c>
      <c r="H70" s="43">
        <f t="shared" si="9"/>
        <v>448407.55979999999</v>
      </c>
      <c r="I70" s="43">
        <f t="shared" si="9"/>
        <v>463212.08819999994</v>
      </c>
      <c r="J70" s="43">
        <f t="shared" si="9"/>
        <v>476170.92899999995</v>
      </c>
      <c r="K70" s="43">
        <f t="shared" si="9"/>
        <v>487736.38980000006</v>
      </c>
      <c r="L70" s="43">
        <f t="shared" si="9"/>
        <v>498360.76380000002</v>
      </c>
      <c r="M70" s="43">
        <f t="shared" si="9"/>
        <v>508206.51360000001</v>
      </c>
      <c r="N70" s="43">
        <f t="shared" si="9"/>
        <v>517490.64180000004</v>
      </c>
      <c r="O70" s="43">
        <f t="shared" si="9"/>
        <v>526418.2692000001</v>
      </c>
    </row>
    <row r="71" spans="1:15" ht="15" thickBot="1" x14ac:dyDescent="0.4">
      <c r="C71" s="29" t="s">
        <v>10</v>
      </c>
      <c r="D71" s="31">
        <f xml:space="preserve"> D69-D70</f>
        <v>1610480</v>
      </c>
      <c r="E71" s="31">
        <f t="shared" ref="E71:O71" si="10" xml:space="preserve"> E69-E70</f>
        <v>1757205.9865999999</v>
      </c>
      <c r="F71" s="31">
        <f t="shared" si="10"/>
        <v>1870699.5708000003</v>
      </c>
      <c r="G71" s="31">
        <f t="shared" si="10"/>
        <v>1964179.6610000003</v>
      </c>
      <c r="H71" s="31">
        <f t="shared" si="10"/>
        <v>2042745.5501999999</v>
      </c>
      <c r="I71" s="31">
        <f t="shared" si="10"/>
        <v>2110188.4017999996</v>
      </c>
      <c r="J71" s="31">
        <f t="shared" si="10"/>
        <v>2169223.1209999998</v>
      </c>
      <c r="K71" s="31">
        <f xml:space="preserve"> K69-K70</f>
        <v>2221910.2202000003</v>
      </c>
      <c r="L71" s="31">
        <f t="shared" si="10"/>
        <v>2270310.1462000003</v>
      </c>
      <c r="M71" s="31">
        <f t="shared" si="10"/>
        <v>2315163.0063999998</v>
      </c>
      <c r="N71" s="31">
        <f t="shared" si="10"/>
        <v>2357457.3682000004</v>
      </c>
      <c r="O71" s="31">
        <f t="shared" si="10"/>
        <v>2398127.6708000004</v>
      </c>
    </row>
    <row r="72" spans="1:15" ht="15" thickTop="1" x14ac:dyDescent="0.35"/>
    <row r="73" spans="1:15" x14ac:dyDescent="0.35">
      <c r="C73" s="8" t="s">
        <v>2</v>
      </c>
    </row>
    <row r="74" spans="1:15" x14ac:dyDescent="0.35">
      <c r="C74" s="8" t="s">
        <v>53</v>
      </c>
    </row>
    <row r="75" spans="1:15" x14ac:dyDescent="0.35">
      <c r="A75" t="s">
        <v>2</v>
      </c>
      <c r="B75" t="s">
        <v>53</v>
      </c>
      <c r="C75" s="10" t="s">
        <v>15</v>
      </c>
      <c r="D75" s="14" cm="1">
        <f t="array" ref="D75" xml:space="preserve"> _xlfn.LET(_xlpm.channel, $C57,
_xlpm.orders, _xlfn.XLOOKUP(_xlpm.channel, $C$32:$C$37, D$32:D$37),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239165.7</v>
      </c>
      <c r="E75" s="14" cm="1">
        <f t="array" ref="E75" xml:space="preserve"> _xlfn.LET(_xlpm.channel, $C57,
_xlpm.orders, _xlfn.XLOOKUP(_xlpm.channel, $C$32:$C$37, E$32:E$37),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242407.7</v>
      </c>
      <c r="F75" s="14" cm="1">
        <f t="array" ref="F75" xml:space="preserve"> _xlfn.LET(_xlpm.channel, $C57,
_xlpm.orders, _xlfn.XLOOKUP(_xlpm.channel, $C$32:$C$37, F$32:F$37),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245709.15</v>
      </c>
      <c r="G75" s="14" cm="1">
        <f t="array" ref="G75" xml:space="preserve"> _xlfn.LET(_xlpm.channel, $C57,
_xlpm.orders, _xlfn.XLOOKUP(_xlpm.channel, $C$32:$C$37, G$32:G$37),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248972.44</v>
      </c>
      <c r="H75" s="14" cm="1">
        <f t="array" ref="H75" xml:space="preserve"> _xlfn.LET(_xlpm.channel, $C57,
_xlpm.orders, _xlfn.XLOOKUP(_xlpm.channel, $C$32:$C$37, H$32:H$37),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252246.38</v>
      </c>
      <c r="I75" s="14" cm="1">
        <f t="array" ref="I75" xml:space="preserve"> _xlfn.LET(_xlpm.channel, $C57,
_xlpm.orders, _xlfn.XLOOKUP(_xlpm.channel, $C$32:$C$37, I$32:I$37),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255580.12</v>
      </c>
      <c r="J75" s="14" cm="1">
        <f t="array" ref="J75" xml:space="preserve"> _xlfn.LET(_xlpm.channel, $C57,
_xlpm.orders, _xlfn.XLOOKUP(_xlpm.channel, $C$32:$C$37, J$32:J$37),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258924.74</v>
      </c>
      <c r="K75" s="14" cm="1">
        <f t="array" ref="K75" xml:space="preserve"> _xlfn.LET(_xlpm.channel, $C57,
_xlpm.orders, _xlfn.XLOOKUP(_xlpm.channel, $C$32:$C$37, K$32:K$37),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262230.99</v>
      </c>
      <c r="L75" s="14" cm="1">
        <f t="array" ref="L75" xml:space="preserve"> _xlfn.LET(_xlpm.channel, $C57,
_xlpm.orders, _xlfn.XLOOKUP(_xlpm.channel, $C$32:$C$37, L$32:L$37),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265646.77</v>
      </c>
      <c r="M75" s="14" cm="1">
        <f t="array" ref="M75" xml:space="preserve"> _xlfn.LET(_xlpm.channel, $C57,
_xlpm.orders, _xlfn.XLOOKUP(_xlpm.channel, $C$32:$C$37, M$32:M$37),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269024.23</v>
      </c>
      <c r="N75" s="14" cm="1">
        <f t="array" ref="N75" xml:space="preserve"> _xlfn.LET(_xlpm.channel, $C57,
_xlpm.orders, _xlfn.XLOOKUP(_xlpm.channel, $C$32:$C$37, N$32:N$37),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272412.71000000002</v>
      </c>
      <c r="O75" s="14" cm="1">
        <f t="array" ref="O75" xml:space="preserve"> _xlfn.LET(_xlpm.channel, $C57,
_xlpm.orders, _xlfn.XLOOKUP(_xlpm.channel, $C$32:$C$37, O$32:O$37),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275861.86</v>
      </c>
    </row>
    <row r="76" spans="1:15" x14ac:dyDescent="0.35">
      <c r="A76" t="s">
        <v>2</v>
      </c>
      <c r="B76" t="s">
        <v>53</v>
      </c>
      <c r="C76" s="10" t="s">
        <v>16</v>
      </c>
      <c r="D76" s="14" cm="1">
        <f t="array" ref="D76" xml:space="preserve"> _xlfn.LET(_xlpm.channel, $C58,
_xlpm.orders, _xlfn.XLOOKUP(_xlpm.channel, $C$32:$C$37, D$32:D$37),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161455.79999999999</v>
      </c>
      <c r="E76" s="14" cm="1">
        <f t="array" ref="E76" xml:space="preserve"> _xlfn.LET(_xlpm.channel, $C58,
_xlpm.orders, _xlfn.XLOOKUP(_xlpm.channel, $C$32:$C$37, E$32:E$37),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163126.96</v>
      </c>
      <c r="F76" s="14" cm="1">
        <f t="array" ref="F76" xml:space="preserve"> _xlfn.LET(_xlpm.channel, $C58,
_xlpm.orders, _xlfn.XLOOKUP(_xlpm.channel, $C$32:$C$37, F$32:F$37),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164841.12</v>
      </c>
      <c r="G76" s="14" cm="1">
        <f t="array" ref="G76" xml:space="preserve"> _xlfn.LET(_xlpm.channel, $C58,
_xlpm.orders, _xlfn.XLOOKUP(_xlpm.channel, $C$32:$C$37, G$32:G$37),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166523.29999999999</v>
      </c>
      <c r="H76" s="14" cm="1">
        <f t="array" ref="H76" xml:space="preserve"> _xlfn.LET(_xlpm.channel, $C58,
_xlpm.orders, _xlfn.XLOOKUP(_xlpm.channel, $C$32:$C$37, H$32:H$37),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168248.63</v>
      </c>
      <c r="I76" s="14" cm="1">
        <f t="array" ref="I76" xml:space="preserve"> _xlfn.LET(_xlpm.channel, $C58,
_xlpm.orders, _xlfn.XLOOKUP(_xlpm.channel, $C$32:$C$37, I$32:I$37),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169941.88</v>
      </c>
      <c r="J76" s="14" cm="1">
        <f t="array" ref="J76" xml:space="preserve"> _xlfn.LET(_xlpm.channel, $C58,
_xlpm.orders, _xlfn.XLOOKUP(_xlpm.channel, $C$32:$C$37, J$32:J$37),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171602.85</v>
      </c>
      <c r="K76" s="14" cm="1">
        <f t="array" ref="K76" xml:space="preserve"> _xlfn.LET(_xlpm.channel, $C58,
_xlpm.orders, _xlfn.XLOOKUP(_xlpm.channel, $C$32:$C$37, K$32:K$37),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173344.97</v>
      </c>
      <c r="L76" s="14" cm="1">
        <f t="array" ref="L76" xml:space="preserve"> _xlfn.LET(_xlpm.channel, $C58,
_xlpm.orders, _xlfn.XLOOKUP(_xlpm.channel, $C$32:$C$37, L$32:L$37),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175016.91</v>
      </c>
      <c r="M76" s="14" cm="1">
        <f t="array" ref="M76" xml:space="preserve"> _xlfn.LET(_xlpm.channel, $C58,
_xlpm.orders, _xlfn.XLOOKUP(_xlpm.channel, $C$32:$C$37, M$32:M$37),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176694.3</v>
      </c>
      <c r="N76" s="14" cm="1">
        <f t="array" ref="N76" xml:space="preserve"> _xlfn.LET(_xlpm.channel, $C58,
_xlpm.orders, _xlfn.XLOOKUP(_xlpm.channel, $C$32:$C$37, N$32:N$37),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178415.21</v>
      </c>
      <c r="O76" s="14" cm="1">
        <f t="array" ref="O76" xml:space="preserve"> _xlfn.LET(_xlpm.channel, $C58,
_xlpm.orders, _xlfn.XLOOKUP(_xlpm.channel, $C$32:$C$37, O$32:O$37),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180103.59</v>
      </c>
    </row>
    <row r="77" spans="1:15" x14ac:dyDescent="0.35">
      <c r="A77" t="s">
        <v>2</v>
      </c>
      <c r="B77" t="s">
        <v>53</v>
      </c>
      <c r="C77" s="10" t="s">
        <v>17</v>
      </c>
      <c r="D77" s="14" cm="1">
        <f t="array" ref="D77" xml:space="preserve"> _xlfn.LET(_xlpm.channel, $C59,
_xlpm.orders, _xlfn.XLOOKUP(_xlpm.channel, $C$32:$C$37, D$32:D$37),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218361</v>
      </c>
      <c r="E77" s="14" cm="1">
        <f t="array" ref="E77" xml:space="preserve"> _xlfn.LET(_xlpm.channel, $C59,
_xlpm.orders, _xlfn.XLOOKUP(_xlpm.channel, $C$32:$C$37, E$32:E$37),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219905.63</v>
      </c>
      <c r="F77" s="14" cm="1">
        <f t="array" ref="F77" xml:space="preserve"> _xlfn.LET(_xlpm.channel, $C59,
_xlpm.orders, _xlfn.XLOOKUP(_xlpm.channel, $C$32:$C$37, F$32:F$37),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221369.02</v>
      </c>
      <c r="G77" s="14" cm="1">
        <f t="array" ref="G77" xml:space="preserve"> _xlfn.LET(_xlpm.channel, $C59,
_xlpm.orders, _xlfn.XLOOKUP(_xlpm.channel, $C$32:$C$37, G$32:G$37),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222836.97</v>
      </c>
      <c r="H77" s="14" cm="1">
        <f t="array" ref="H77" xml:space="preserve"> _xlfn.LET(_xlpm.channel, $C59,
_xlpm.orders, _xlfn.XLOOKUP(_xlpm.channel, $C$32:$C$37, H$32:H$37),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224352.7</v>
      </c>
      <c r="I77" s="14" cm="1">
        <f t="array" ref="I77" xml:space="preserve"> _xlfn.LET(_xlpm.channel, $C59,
_xlpm.orders, _xlfn.XLOOKUP(_xlpm.channel, $C$32:$C$37, I$32:I$37),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225829.89</v>
      </c>
      <c r="J77" s="14" cm="1">
        <f t="array" ref="J77" xml:space="preserve"> _xlfn.LET(_xlpm.channel, $C59,
_xlpm.orders, _xlfn.XLOOKUP(_xlpm.channel, $C$32:$C$37, J$32:J$37),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227311.69</v>
      </c>
      <c r="K77" s="14" cm="1">
        <f t="array" ref="K77" xml:space="preserve"> _xlfn.LET(_xlpm.channel, $C59,
_xlpm.orders, _xlfn.XLOOKUP(_xlpm.channel, $C$32:$C$37, K$32:K$37),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228754.67</v>
      </c>
      <c r="L77" s="14" cm="1">
        <f t="array" ref="L77" xml:space="preserve"> _xlfn.LET(_xlpm.channel, $C59,
_xlpm.orders, _xlfn.XLOOKUP(_xlpm.channel, $C$32:$C$37, L$32:L$37),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230245.63</v>
      </c>
      <c r="M77" s="14" cm="1">
        <f t="array" ref="M77" xml:space="preserve"> _xlfn.LET(_xlpm.channel, $C59,
_xlpm.orders, _xlfn.XLOOKUP(_xlpm.channel, $C$32:$C$37, M$32:M$37),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231697.66</v>
      </c>
      <c r="N77" s="14" cm="1">
        <f t="array" ref="N77" xml:space="preserve"> _xlfn.LET(_xlpm.channel, $C59,
_xlpm.orders, _xlfn.XLOOKUP(_xlpm.channel, $C$32:$C$37, N$32:N$37),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233110.52</v>
      </c>
      <c r="O77" s="14" cm="1">
        <f t="array" ref="O77" xml:space="preserve"> _xlfn.LET(_xlpm.channel, $C59,
_xlpm.orders, _xlfn.XLOOKUP(_xlpm.channel, $C$32:$C$37, O$32:O$37),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234571.48</v>
      </c>
    </row>
    <row r="78" spans="1:15" x14ac:dyDescent="0.35">
      <c r="A78" t="s">
        <v>2</v>
      </c>
      <c r="B78" t="s">
        <v>53</v>
      </c>
      <c r="C78" s="10" t="s">
        <v>18</v>
      </c>
      <c r="D78" s="14" cm="1">
        <f t="array" ref="D78" xml:space="preserve"> _xlfn.LET(_xlpm.channel, $C60,
_xlpm.orders, _xlfn.XLOOKUP(_xlpm.channel, $C$32:$C$37, D$32:D$37),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125078.39999999999</v>
      </c>
      <c r="E78" s="14" cm="1">
        <f t="array" ref="E78" xml:space="preserve"> _xlfn.LET(_xlpm.channel, $C60,
_xlpm.orders, _xlfn.XLOOKUP(_xlpm.channel, $C$32:$C$37, E$32:E$37),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125379.92</v>
      </c>
      <c r="F78" s="14" cm="1">
        <f t="array" ref="F78" xml:space="preserve"> _xlfn.LET(_xlpm.channel, $C60,
_xlpm.orders, _xlfn.XLOOKUP(_xlpm.channel, $C$32:$C$37, F$32:F$37),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125643.32</v>
      </c>
      <c r="G78" s="14" cm="1">
        <f t="array" ref="G78" xml:space="preserve"> _xlfn.LET(_xlpm.channel, $C60,
_xlpm.orders, _xlfn.XLOOKUP(_xlpm.channel, $C$32:$C$37, G$32:G$37),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125907.31</v>
      </c>
      <c r="H78" s="14" cm="1">
        <f t="array" ref="H78" xml:space="preserve"> _xlfn.LET(_xlpm.channel, $C60,
_xlpm.orders, _xlfn.XLOOKUP(_xlpm.channel, $C$32:$C$37, H$32:H$37),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126171.89</v>
      </c>
      <c r="I78" s="14" cm="1">
        <f t="array" ref="I78" xml:space="preserve"> _xlfn.LET(_xlpm.channel, $C60,
_xlpm.orders, _xlfn.XLOOKUP(_xlpm.channel, $C$32:$C$37, I$32:I$37),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126476.11</v>
      </c>
      <c r="J78" s="14" cm="1">
        <f t="array" ref="J78" xml:space="preserve"> _xlfn.LET(_xlpm.channel, $C60,
_xlpm.orders, _xlfn.XLOOKUP(_xlpm.channel, $C$32:$C$37, J$32:J$37),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126741.95</v>
      </c>
      <c r="K78" s="14" cm="1">
        <f t="array" ref="K78" xml:space="preserve"> _xlfn.LET(_xlpm.channel, $C60,
_xlpm.orders, _xlfn.XLOOKUP(_xlpm.channel, $C$32:$C$37, K$32:K$37),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127008.37</v>
      </c>
      <c r="L78" s="14" cm="1">
        <f t="array" ref="L78" xml:space="preserve"> _xlfn.LET(_xlpm.channel, $C60,
_xlpm.orders, _xlfn.XLOOKUP(_xlpm.channel, $C$32:$C$37, L$32:L$37),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127275.4</v>
      </c>
      <c r="M78" s="14" cm="1">
        <f t="array" ref="M78" xml:space="preserve"> _xlfn.LET(_xlpm.channel, $C60,
_xlpm.orders, _xlfn.XLOOKUP(_xlpm.channel, $C$32:$C$37, M$32:M$37),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127543.02</v>
      </c>
      <c r="N78" s="14" cm="1">
        <f t="array" ref="N78" xml:space="preserve"> _xlfn.LET(_xlpm.channel, $C60,
_xlpm.orders, _xlfn.XLOOKUP(_xlpm.channel, $C$32:$C$37, N$32:N$37),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127850.63</v>
      </c>
      <c r="O78" s="14" cm="1">
        <f t="array" ref="O78" xml:space="preserve"> _xlfn.LET(_xlpm.channel, $C60,
_xlpm.orders, _xlfn.XLOOKUP(_xlpm.channel, $C$32:$C$37, O$32:O$37),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128119.52</v>
      </c>
    </row>
    <row r="79" spans="1:15" x14ac:dyDescent="0.35">
      <c r="A79" t="s">
        <v>2</v>
      </c>
      <c r="B79" t="s">
        <v>53</v>
      </c>
      <c r="C79" s="10" t="s">
        <v>43</v>
      </c>
      <c r="D79" s="14" cm="1">
        <f t="array" ref="D79" xml:space="preserve"> _xlfn.LET(_xlpm.channel, $C61,
_xlpm.orders, _xlfn.XLOOKUP(_xlpm.channel, $C$32:$C$37, D$32:D$37),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96503.88</v>
      </c>
      <c r="E79" s="14" cm="1">
        <f t="array" ref="E79" xml:space="preserve"> _xlfn.LET(_xlpm.channel, $C61,
_xlpm.orders, _xlfn.XLOOKUP(_xlpm.channel, $C$32:$C$37, E$32:E$37),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97376.42</v>
      </c>
      <c r="F79" s="14" cm="1">
        <f t="array" ref="F79" xml:space="preserve"> _xlfn.LET(_xlpm.channel, $C61,
_xlpm.orders, _xlfn.XLOOKUP(_xlpm.channel, $C$32:$C$37, F$32:F$37),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98201.12</v>
      </c>
      <c r="G79" s="14" cm="1">
        <f t="array" ref="G79" xml:space="preserve"> _xlfn.LET(_xlpm.channel, $C61,
_xlpm.orders, _xlfn.XLOOKUP(_xlpm.channel, $C$32:$C$37, G$32:G$37),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99028.41</v>
      </c>
      <c r="H79" s="14" cm="1">
        <f t="array" ref="H79" xml:space="preserve"> _xlfn.LET(_xlpm.channel, $C61,
_xlpm.orders, _xlfn.XLOOKUP(_xlpm.channel, $C$32:$C$37, H$32:H$37),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99909.06</v>
      </c>
      <c r="I79" s="14" cm="1">
        <f t="array" ref="I79" xml:space="preserve"> _xlfn.LET(_xlpm.channel, $C61,
_xlpm.orders, _xlfn.XLOOKUP(_xlpm.channel, $C$32:$C$37, I$32:I$37),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100741.64</v>
      </c>
      <c r="J79" s="14" cm="1">
        <f t="array" ref="J79" xml:space="preserve"> _xlfn.LET(_xlpm.channel, $C61,
_xlpm.orders, _xlfn.XLOOKUP(_xlpm.channel, $C$32:$C$37, J$32:J$37),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101627.77</v>
      </c>
      <c r="K79" s="14" cm="1">
        <f t="array" ref="K79" xml:space="preserve"> _xlfn.LET(_xlpm.channel, $C61,
_xlpm.orders, _xlfn.XLOOKUP(_xlpm.channel, $C$32:$C$37, K$32:K$37),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102465.67</v>
      </c>
      <c r="L79" s="14" cm="1">
        <f t="array" ref="L79" xml:space="preserve"> _xlfn.LET(_xlpm.channel, $C61,
_xlpm.orders, _xlfn.XLOOKUP(_xlpm.channel, $C$32:$C$37, L$32:L$37),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103306.2</v>
      </c>
      <c r="M79" s="14" cm="1">
        <f t="array" ref="M79" xml:space="preserve"> _xlfn.LET(_xlpm.channel, $C61,
_xlpm.orders, _xlfn.XLOOKUP(_xlpm.channel, $C$32:$C$37, M$32:M$37),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104149.37</v>
      </c>
      <c r="N79" s="14" cm="1">
        <f t="array" ref="N79" xml:space="preserve"> _xlfn.LET(_xlpm.channel, $C61,
_xlpm.orders, _xlfn.XLOOKUP(_xlpm.channel, $C$32:$C$37, N$32:N$37),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104995.18</v>
      </c>
      <c r="O79" s="14" cm="1">
        <f t="array" ref="O79" xml:space="preserve"> _xlfn.LET(_xlpm.channel, $C61,
_xlpm.orders, _xlfn.XLOOKUP(_xlpm.channel, $C$32:$C$37, O$32:O$37),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105843.64</v>
      </c>
    </row>
    <row r="80" spans="1:15" x14ac:dyDescent="0.35">
      <c r="A80" t="s">
        <v>2</v>
      </c>
      <c r="B80" t="s">
        <v>53</v>
      </c>
      <c r="C80" s="10" t="s">
        <v>44</v>
      </c>
      <c r="D80" s="14" cm="1">
        <f t="array" ref="D80" xml:space="preserve"> _xlfn.LET(_xlpm.channel, $C62,
_xlpm.orders, _xlfn.XLOOKUP(_xlpm.channel, $C$32:$C$37, D$32:D$37),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3680.66</v>
      </c>
      <c r="E80" s="14" cm="1">
        <f t="array" ref="E80" xml:space="preserve"> _xlfn.LET(_xlpm.channel, $C62,
_xlpm.orders, _xlfn.XLOOKUP(_xlpm.channel, $C$32:$C$37, E$32:E$37),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15808.52</v>
      </c>
      <c r="F80" s="14" cm="1">
        <f t="array" ref="F80" xml:space="preserve"> _xlfn.LET(_xlpm.channel, $C62,
_xlpm.orders, _xlfn.XLOOKUP(_xlpm.channel, $C$32:$C$37, F$32:F$37),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22159.759999999998</v>
      </c>
      <c r="G80" s="14" cm="1">
        <f t="array" ref="G80" xml:space="preserve"> _xlfn.LET(_xlpm.channel, $C62,
_xlpm.orders, _xlfn.XLOOKUP(_xlpm.channel, $C$32:$C$37, G$32:G$37),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27164.39</v>
      </c>
      <c r="H80" s="14" cm="1">
        <f t="array" ref="H80" xml:space="preserve"> _xlfn.LET(_xlpm.channel, $C62,
_xlpm.orders, _xlfn.XLOOKUP(_xlpm.channel, $C$32:$C$37, H$32:H$37),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31069.279999999999</v>
      </c>
      <c r="I80" s="14" cm="1">
        <f t="array" ref="I80" xml:space="preserve"> _xlfn.LET(_xlpm.channel, $C62,
_xlpm.orders, _xlfn.XLOOKUP(_xlpm.channel, $C$32:$C$37, I$32:I$37),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34224.699999999997</v>
      </c>
      <c r="J80" s="14" cm="1">
        <f t="array" ref="J80" xml:space="preserve"> _xlfn.LET(_xlpm.channel, $C62,
_xlpm.orders, _xlfn.XLOOKUP(_xlpm.channel, $C$32:$C$37, J$32:J$37),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36779.58</v>
      </c>
      <c r="K80" s="14" cm="1">
        <f t="array" ref="K80" xml:space="preserve"> _xlfn.LET(_xlpm.channel, $C62,
_xlpm.orders, _xlfn.XLOOKUP(_xlpm.channel, $C$32:$C$37, K$32:K$37),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38883.89</v>
      </c>
      <c r="L80" s="14" cm="1">
        <f t="array" ref="L80" xml:space="preserve"> _xlfn.LET(_xlpm.channel, $C62,
_xlpm.orders, _xlfn.XLOOKUP(_xlpm.channel, $C$32:$C$37, L$32:L$37),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40688.639999999999</v>
      </c>
      <c r="M80" s="14" cm="1">
        <f t="array" ref="M80" xml:space="preserve"> _xlfn.LET(_xlpm.channel, $C62,
_xlpm.orders, _xlfn.XLOOKUP(_xlpm.channel, $C$32:$C$37, M$32:M$37),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42243.48</v>
      </c>
      <c r="N80" s="14" cm="1">
        <f t="array" ref="N80" xml:space="preserve"> _xlfn.LET(_xlpm.channel, $C62,
_xlpm.orders, _xlfn.XLOOKUP(_xlpm.channel, $C$32:$C$37, N$32:N$37),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43598.39</v>
      </c>
      <c r="O80" s="14" cm="1">
        <f t="array" ref="O80" xml:space="preserve"> _xlfn.LET(_xlpm.channel, $C62,
_xlpm.orders, _xlfn.XLOOKUP(_xlpm.channel, $C$32:$C$37, O$32:O$37),
_xlpm.cogs, _xlfn.XLOOKUP(_xlpm.channel, tbl_Channels[[Channel]:[Channel]], tbl_Channels[[unit_cost]:[unit_cost]],
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_xlfn.XLOOKUP("Organic", tbl_Organic[[Channel]:[Channel]], tbl_Organic[[processing_cost]:[processing_cost]])),
ROUND(_xlpm.orders*((_xlpm.cogs*_xlpm.cogs_multiplier)+_xlpm.fulfillment), 2))</f>
        <v>44803.71</v>
      </c>
    </row>
    <row r="81" spans="1:15" x14ac:dyDescent="0.35">
      <c r="C81" s="8" t="s">
        <v>54</v>
      </c>
    </row>
    <row r="82" spans="1:15" x14ac:dyDescent="0.35">
      <c r="A82" t="s">
        <v>2</v>
      </c>
      <c r="B82" t="s">
        <v>54</v>
      </c>
      <c r="C82" s="10" t="s">
        <v>15</v>
      </c>
      <c r="D82" s="14" cm="1">
        <f t="array" ref="D82" xml:space="preserve"> _xlfn.LET(_xlpm.channel, $C82,
_xlpm.orders, _xlfn.XLOOKUP(_xlpm.channel, $C$40:$C$44, D$40:D$44),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55415.1</v>
      </c>
      <c r="E82" s="14" cm="1">
        <f t="array" ref="E82" xml:space="preserve"> _xlfn.LET(_xlpm.channel, $C82,
_xlpm.orders, _xlfn.XLOOKUP(_xlpm.channel, $C$40:$C$44, E$40:E$44),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78308.929999999993</v>
      </c>
      <c r="F82" s="14" cm="1">
        <f t="array" ref="F82" xml:space="preserve"> _xlfn.LET(_xlpm.channel, $C82,
_xlpm.orders, _xlfn.XLOOKUP(_xlpm.channel, $C$40:$C$44, F$40:F$44),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96039.1</v>
      </c>
      <c r="G82" s="14" cm="1">
        <f t="array" ref="G82" xml:space="preserve"> _xlfn.LET(_xlpm.channel, $C82,
_xlpm.orders, _xlfn.XLOOKUP(_xlpm.channel, $C$40:$C$44, G$40:G$44),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109853.6</v>
      </c>
      <c r="H82" s="14" cm="1">
        <f t="array" ref="H82" xml:space="preserve"> _xlfn.LET(_xlpm.channel, $C82,
_xlpm.orders, _xlfn.XLOOKUP(_xlpm.channel, $C$40:$C$44, H$40:H$44),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120702.53</v>
      </c>
      <c r="I82" s="14" cm="1">
        <f t="array" ref="I82" xml:space="preserve"> _xlfn.LET(_xlpm.channel, $C82,
_xlpm.orders, _xlfn.XLOOKUP(_xlpm.channel, $C$40:$C$44, I$40:I$44),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129337.86</v>
      </c>
      <c r="J82" s="14" cm="1">
        <f t="array" ref="J82" xml:space="preserve"> _xlfn.LET(_xlpm.channel, $C82,
_xlpm.orders, _xlfn.XLOOKUP(_xlpm.channel, $C$40:$C$44, J$40:J$44),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136362.98000000001</v>
      </c>
      <c r="K82" s="14" cm="1">
        <f t="array" ref="K82" xml:space="preserve"> _xlfn.LET(_xlpm.channel, $C82,
_xlpm.orders, _xlfn.XLOOKUP(_xlpm.channel, $C$40:$C$44, K$40:K$44),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142128.85999999999</v>
      </c>
      <c r="L82" s="14" cm="1">
        <f t="array" ref="L82" xml:space="preserve"> _xlfn.LET(_xlpm.channel, $C82,
_xlpm.orders, _xlfn.XLOOKUP(_xlpm.channel, $C$40:$C$44, L$40:L$44),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146988.79999999999</v>
      </c>
      <c r="M82" s="14" cm="1">
        <f t="array" ref="M82" xml:space="preserve"> _xlfn.LET(_xlpm.channel, $C82,
_xlpm.orders, _xlfn.XLOOKUP(_xlpm.channel, $C$40:$C$44, M$40:M$44),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151144.12</v>
      </c>
      <c r="N82" s="14" cm="1">
        <f t="array" ref="N82" xml:space="preserve"> _xlfn.LET(_xlpm.channel, $C82,
_xlpm.orders, _xlfn.XLOOKUP(_xlpm.channel, $C$40:$C$44, N$40:N$44),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154745.9</v>
      </c>
      <c r="O82" s="14" cm="1">
        <f t="array" ref="O82" xml:space="preserve"> _xlfn.LET(_xlpm.channel, $C82,
_xlpm.orders, _xlfn.XLOOKUP(_xlpm.channel, $C$40:$C$44, O$40:O$44),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157997.88</v>
      </c>
    </row>
    <row r="83" spans="1:15" x14ac:dyDescent="0.35">
      <c r="A83" t="s">
        <v>2</v>
      </c>
      <c r="B83" t="s">
        <v>54</v>
      </c>
      <c r="C83" s="10" t="s">
        <v>16</v>
      </c>
      <c r="D83" s="14" cm="1">
        <f t="array" ref="D83" xml:space="preserve"> _xlfn.LET(_xlpm.channel, $C83,
_xlpm.orders, _xlfn.XLOOKUP(_xlpm.channel, $C$40:$C$44, D$40:D$44),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38021</v>
      </c>
      <c r="E83" s="14" cm="1">
        <f t="array" ref="E83" xml:space="preserve"> _xlfn.LET(_xlpm.channel, $C83,
_xlpm.orders, _xlfn.XLOOKUP(_xlpm.channel, $C$40:$C$44, E$40:E$44),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53555.360000000001</v>
      </c>
      <c r="F83" s="14" cm="1">
        <f t="array" ref="F83" xml:space="preserve"> _xlfn.LET(_xlpm.channel, $C83,
_xlpm.orders, _xlfn.XLOOKUP(_xlpm.channel, $C$40:$C$44, F$40:F$44),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65465.21</v>
      </c>
      <c r="G83" s="14" cm="1">
        <f t="array" ref="G83" xml:space="preserve"> _xlfn.LET(_xlpm.channel, $C83,
_xlpm.orders, _xlfn.XLOOKUP(_xlpm.channel, $C$40:$C$44, G$40:G$44),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74682.58</v>
      </c>
      <c r="H83" s="14" cm="1">
        <f t="array" ref="H83" xml:space="preserve"> _xlfn.LET(_xlpm.channel, $C83,
_xlpm.orders, _xlfn.XLOOKUP(_xlpm.channel, $C$40:$C$44, H$40:H$44),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81868.13</v>
      </c>
      <c r="I83" s="14" cm="1">
        <f t="array" ref="I83" xml:space="preserve"> _xlfn.LET(_xlpm.channel, $C83,
_xlpm.orders, _xlfn.XLOOKUP(_xlpm.channel, $C$40:$C$44, I$40:I$44),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87528.1</v>
      </c>
      <c r="J83" s="14" cm="1">
        <f t="array" ref="J83" xml:space="preserve"> _xlfn.LET(_xlpm.channel, $C83,
_xlpm.orders, _xlfn.XLOOKUP(_xlpm.channel, $C$40:$C$44, J$40:J$44),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92052.74</v>
      </c>
      <c r="K83" s="14" cm="1">
        <f t="array" ref="K83" xml:space="preserve"> _xlfn.LET(_xlpm.channel, $C83,
_xlpm.orders, _xlfn.XLOOKUP(_xlpm.channel, $C$40:$C$44, K$40:K$44),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95675.48</v>
      </c>
      <c r="L83" s="14" cm="1">
        <f t="array" ref="L83" xml:space="preserve"> _xlfn.LET(_xlpm.channel, $C83,
_xlpm.orders, _xlfn.XLOOKUP(_xlpm.channel, $C$40:$C$44, L$40:L$44),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98671.26</v>
      </c>
      <c r="M83" s="14" cm="1">
        <f t="array" ref="M83" xml:space="preserve"> _xlfn.LET(_xlpm.channel, $C83,
_xlpm.orders, _xlfn.XLOOKUP(_xlpm.channel, $C$40:$C$44, M$40:M$44),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101196.9</v>
      </c>
      <c r="N83" s="14" cm="1">
        <f t="array" ref="N83" xml:space="preserve"> _xlfn.LET(_xlpm.channel, $C83,
_xlpm.orders, _xlfn.XLOOKUP(_xlpm.channel, $C$40:$C$44, N$40:N$44),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103330.14</v>
      </c>
      <c r="O83" s="14" cm="1">
        <f t="array" ref="O83" xml:space="preserve"> _xlfn.LET(_xlpm.channel, $C83,
_xlpm.orders, _xlfn.XLOOKUP(_xlpm.channel, $C$40:$C$44, O$40:O$44),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105189.39</v>
      </c>
    </row>
    <row r="84" spans="1:15" x14ac:dyDescent="0.35">
      <c r="A84" t="s">
        <v>2</v>
      </c>
      <c r="B84" t="s">
        <v>54</v>
      </c>
      <c r="C84" s="10" t="s">
        <v>17</v>
      </c>
      <c r="D84" s="14" cm="1">
        <f t="array" ref="D84" xml:space="preserve"> _xlfn.LET(_xlpm.channel, $C84,
_xlpm.orders, _xlfn.XLOOKUP(_xlpm.channel, $C$40:$C$44, D$40:D$44),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48716.5</v>
      </c>
      <c r="E84" s="14" cm="1">
        <f t="array" ref="E84" xml:space="preserve"> _xlfn.LET(_xlpm.channel, $C84,
_xlpm.orders, _xlfn.XLOOKUP(_xlpm.channel, $C$40:$C$44, E$40:E$44),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70071.83</v>
      </c>
      <c r="F84" s="14" cm="1">
        <f t="array" ref="F84" xml:space="preserve"> _xlfn.LET(_xlpm.channel, $C84,
_xlpm.orders, _xlfn.XLOOKUP(_xlpm.channel, $C$40:$C$44, F$40:F$44),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86318.01</v>
      </c>
      <c r="G84" s="14" cm="1">
        <f t="array" ref="G84" xml:space="preserve"> _xlfn.LET(_xlpm.channel, $C84,
_xlpm.orders, _xlfn.XLOOKUP(_xlpm.channel, $C$40:$C$44, G$40:G$44),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98782.9</v>
      </c>
      <c r="H84" s="14" cm="1">
        <f t="array" ref="H84" xml:space="preserve"> _xlfn.LET(_xlpm.channel, $C84,
_xlpm.orders, _xlfn.XLOOKUP(_xlpm.channel, $C$40:$C$44, H$40:H$44),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108351.37</v>
      </c>
      <c r="I84" s="14" cm="1">
        <f t="array" ref="I84" xml:space="preserve"> _xlfn.LET(_xlpm.channel, $C84,
_xlpm.orders, _xlfn.XLOOKUP(_xlpm.channel, $C$40:$C$44, I$40:I$44),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115778.44</v>
      </c>
      <c r="J84" s="14" cm="1">
        <f t="array" ref="J84" xml:space="preserve"> _xlfn.LET(_xlpm.channel, $C84,
_xlpm.orders, _xlfn.XLOOKUP(_xlpm.channel, $C$40:$C$44, J$40:J$44),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121552.13</v>
      </c>
      <c r="K84" s="14" cm="1">
        <f t="array" ref="K84" xml:space="preserve"> _xlfn.LET(_xlpm.channel, $C84,
_xlpm.orders, _xlfn.XLOOKUP(_xlpm.channel, $C$40:$C$44, K$40:K$44),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126118.35</v>
      </c>
      <c r="L84" s="14" cm="1">
        <f t="array" ref="L84" xml:space="preserve"> _xlfn.LET(_xlpm.channel, $C84,
_xlpm.orders, _xlfn.XLOOKUP(_xlpm.channel, $C$40:$C$44, L$40:L$44),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129789.51</v>
      </c>
      <c r="M84" s="14" cm="1">
        <f t="array" ref="M84" xml:space="preserve"> _xlfn.LET(_xlpm.channel, $C84,
_xlpm.orders, _xlfn.XLOOKUP(_xlpm.channel, $C$40:$C$44, M$40:M$44),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132743.41</v>
      </c>
      <c r="N84" s="14" cm="1">
        <f t="array" ref="N84" xml:space="preserve"> _xlfn.LET(_xlpm.channel, $C84,
_xlpm.orders, _xlfn.XLOOKUP(_xlpm.channel, $C$40:$C$44, N$40:N$44),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135159.01999999999</v>
      </c>
      <c r="O84" s="14" cm="1">
        <f t="array" ref="O84" xml:space="preserve"> _xlfn.LET(_xlpm.channel, $C84,
_xlpm.orders, _xlfn.XLOOKUP(_xlpm.channel, $C$40:$C$44, O$40:O$44),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137216.57</v>
      </c>
    </row>
    <row r="85" spans="1:15" x14ac:dyDescent="0.35">
      <c r="A85" t="s">
        <v>2</v>
      </c>
      <c r="B85" t="s">
        <v>54</v>
      </c>
      <c r="C85" s="10" t="s">
        <v>18</v>
      </c>
      <c r="D85" s="14" cm="1">
        <f t="array" ref="D85" xml:space="preserve"> _xlfn.LET(_xlpm.channel, $C85,
_xlpm.orders, _xlfn.XLOOKUP(_xlpm.channel, $C$40:$C$44, D$40:D$44),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25518.9</v>
      </c>
      <c r="E85" s="14" cm="1">
        <f t="array" ref="E85" xml:space="preserve"> _xlfn.LET(_xlpm.channel, $C85,
_xlpm.orders, _xlfn.XLOOKUP(_xlpm.channel, $C$40:$C$44, E$40:E$44),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38363.910000000003</v>
      </c>
      <c r="F85" s="14" cm="1">
        <f t="array" ref="F85" xml:space="preserve"> _xlfn.LET(_xlpm.channel, $C85,
_xlpm.orders, _xlfn.XLOOKUP(_xlpm.channel, $C$40:$C$44, F$40:F$44),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48026.36</v>
      </c>
      <c r="G85" s="14" cm="1">
        <f t="array" ref="G85" xml:space="preserve"> _xlfn.LET(_xlpm.channel, $C85,
_xlpm.orders, _xlfn.XLOOKUP(_xlpm.channel, $C$40:$C$44, G$40:G$44),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55348.95</v>
      </c>
      <c r="H85" s="14" cm="1">
        <f t="array" ref="H85" xml:space="preserve"> _xlfn.LET(_xlpm.channel, $C85,
_xlpm.orders, _xlfn.XLOOKUP(_xlpm.channel, $C$40:$C$44, H$40:H$44),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60852.38</v>
      </c>
      <c r="I85" s="14" cm="1">
        <f t="array" ref="I85" xml:space="preserve"> _xlfn.LET(_xlpm.channel, $C85,
_xlpm.orders, _xlfn.XLOOKUP(_xlpm.channel, $C$40:$C$44, I$40:I$44),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65060.9</v>
      </c>
      <c r="J85" s="14" cm="1">
        <f t="array" ref="J85" xml:space="preserve"> _xlfn.LET(_xlpm.channel, $C85,
_xlpm.orders, _xlfn.XLOOKUP(_xlpm.channel, $C$40:$C$44, J$40:J$44),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68255.69</v>
      </c>
      <c r="K85" s="14" cm="1">
        <f t="array" ref="K85" xml:space="preserve"> _xlfn.LET(_xlpm.channel, $C85,
_xlpm.orders, _xlfn.XLOOKUP(_xlpm.channel, $C$40:$C$44, K$40:K$44),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70678.64</v>
      </c>
      <c r="L85" s="14" cm="1">
        <f t="array" ref="L85" xml:space="preserve"> _xlfn.LET(_xlpm.channel, $C85,
_xlpm.orders, _xlfn.XLOOKUP(_xlpm.channel, $C$40:$C$44, L$40:L$44),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72573.34</v>
      </c>
      <c r="M85" s="14" cm="1">
        <f t="array" ref="M85" xml:space="preserve"> _xlfn.LET(_xlpm.channel, $C85,
_xlpm.orders, _xlfn.XLOOKUP(_xlpm.channel, $C$40:$C$44, M$40:M$44),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74019.72</v>
      </c>
      <c r="N85" s="14" cm="1">
        <f t="array" ref="N85" xml:space="preserve"> _xlfn.LET(_xlpm.channel, $C85,
_xlpm.orders, _xlfn.XLOOKUP(_xlpm.channel, $C$40:$C$44, N$40:N$44),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75139.679999999993</v>
      </c>
      <c r="O85" s="14" cm="1">
        <f t="array" ref="O85" xml:space="preserve"> _xlfn.LET(_xlpm.channel, $C85,
_xlpm.orders, _xlfn.XLOOKUP(_xlpm.channel, $C$40:$C$44, O$40:O$44),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76014.45</v>
      </c>
    </row>
    <row r="86" spans="1:15" x14ac:dyDescent="0.35">
      <c r="A86" t="s">
        <v>2</v>
      </c>
      <c r="B86" t="s">
        <v>54</v>
      </c>
      <c r="C86" s="10" t="s">
        <v>20</v>
      </c>
      <c r="D86" s="14" cm="1">
        <f t="array" ref="D86" xml:space="preserve"> _xlfn.LET(_xlpm.channel, $C86,
_xlpm.orders, _xlfn.XLOOKUP(_xlpm.channel, $C$40:$C$44, D$40:D$44),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21439.78</v>
      </c>
      <c r="E86" s="14" cm="1">
        <f t="array" ref="E86" xml:space="preserve"> _xlfn.LET(_xlpm.channel, $C86,
_xlpm.orders, _xlfn.XLOOKUP(_xlpm.channel, $C$40:$C$44, E$40:E$44),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23680.400000000001</v>
      </c>
      <c r="F86" s="14" cm="1">
        <f t="array" ref="F86" xml:space="preserve"> _xlfn.LET(_xlpm.channel, $C86,
_xlpm.orders, _xlfn.XLOOKUP(_xlpm.channel, $C$40:$C$44, F$40:F$44),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26822.46</v>
      </c>
      <c r="G86" s="14" cm="1">
        <f t="array" ref="G86" xml:space="preserve"> _xlfn.LET(_xlpm.channel, $C86,
_xlpm.orders, _xlfn.XLOOKUP(_xlpm.channel, $C$40:$C$44, G$40:G$44),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30606.99</v>
      </c>
      <c r="H86" s="14" cm="1">
        <f t="array" ref="H86" xml:space="preserve"> _xlfn.LET(_xlpm.channel, $C86,
_xlpm.orders, _xlfn.XLOOKUP(_xlpm.channel, $C$40:$C$44, H$40:H$44),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34984.39</v>
      </c>
      <c r="I86" s="14" cm="1">
        <f t="array" ref="I86" xml:space="preserve"> _xlfn.LET(_xlpm.channel, $C86,
_xlpm.orders, _xlfn.XLOOKUP(_xlpm.channel, $C$40:$C$44, I$40:I$44),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39799.01</v>
      </c>
      <c r="J86" s="14" cm="1">
        <f t="array" ref="J86" xml:space="preserve"> _xlfn.LET(_xlpm.channel, $C86,
_xlpm.orders, _xlfn.XLOOKUP(_xlpm.channel, $C$40:$C$44, J$40:J$44),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44947.11</v>
      </c>
      <c r="K86" s="14" cm="1">
        <f t="array" ref="K86" xml:space="preserve"> _xlfn.LET(_xlpm.channel, $C86,
_xlpm.orders, _xlfn.XLOOKUP(_xlpm.channel, $C$40:$C$44, K$40:K$44),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50430.32</v>
      </c>
      <c r="L86" s="14" cm="1">
        <f t="array" ref="L86" xml:space="preserve"> _xlfn.LET(_xlpm.channel, $C86,
_xlpm.orders, _xlfn.XLOOKUP(_xlpm.channel, $C$40:$C$44, L$40:L$44),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56144.01</v>
      </c>
      <c r="M86" s="14" cm="1">
        <f t="array" ref="M86" xml:space="preserve"> _xlfn.LET(_xlpm.channel, $C86,
_xlpm.orders, _xlfn.XLOOKUP(_xlpm.channel, $C$40:$C$44, M$40:M$44),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62089.32</v>
      </c>
      <c r="N86" s="14" cm="1">
        <f t="array" ref="N86" xml:space="preserve"> _xlfn.LET(_xlpm.channel, $C86,
_xlpm.orders, _xlfn.XLOOKUP(_xlpm.channel, $C$40:$C$44, N$40:N$44),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68214.039999999994</v>
      </c>
      <c r="O86" s="14" cm="1">
        <f t="array" ref="O86" xml:space="preserve"> _xlfn.LET(_xlpm.channel, $C86,
_xlpm.orders, _xlfn.XLOOKUP(_xlpm.channel, $C$40:$C$44, O$40:O$44),
_xlpm.COGS, _xlfn.XLOOKUP(_xlpm.channel, tbl_Channels[[Channel]:[Channel]], tbl_Channels[[unit_cost]:[unit_cost]],
               _xlfn.XLOOKUP("Organic", tbl_Organic[[Channel]:[Channel]], tbl_Organic[[unit_cost]:[unit_cost]])),
_xlpm.COGS_multiplier, POWER(1+cogs_g_pct, _xlfn.SINGLE(period_number)-1),
_xlpm.fulfillment, _xlfn.XLOOKUP(_xlpm.channel, tbl_Channels[[Channel]:[Channel]], tbl_Channels[[fulfillment_cost]:[fulfillment_cost]],
                       _xlfn.XLOOKUP("Organic", tbl_Organic[[Channel]:[Channel]], tbl_Organic[[fulfillment_cost]:[fulfillment_cost]])),
_xlpm.processing, _xlfn.XLOOKUP(_xlpm.channel, tbl_Channels[[Channel]:[Channel]], tbl_Channels[[processing_cost]:[processing_cost]],
                         _xlfn.XLOOKUP("Organic", tbl_Organic[[Channel]:[Channel]], tbl_Organic[[processing_cost]:[processing_cost]])),
ROUND(_xlpm.orders * ((_xlpm.COGS * _xlpm.COGS_multiplier)+_xlpm.fulfillment+_xlpm.processing), 2))</f>
        <v>74519.05</v>
      </c>
    </row>
    <row r="87" spans="1:15" ht="15" thickBot="1" x14ac:dyDescent="0.4">
      <c r="C87" s="29" t="s">
        <v>59</v>
      </c>
      <c r="D87" s="31">
        <f xml:space="preserve"> SUM(D75:D86)</f>
        <v>1033356.7200000001</v>
      </c>
      <c r="E87" s="31">
        <f t="shared" ref="E87:O87" si="11" xml:space="preserve"> SUM(E75:E86)</f>
        <v>1127985.5799999998</v>
      </c>
      <c r="F87" s="31">
        <f t="shared" si="11"/>
        <v>1200594.6300000001</v>
      </c>
      <c r="G87" s="31">
        <f t="shared" si="11"/>
        <v>1259707.8399999999</v>
      </c>
      <c r="H87" s="31">
        <f t="shared" si="11"/>
        <v>1308756.74</v>
      </c>
      <c r="I87" s="31">
        <f t="shared" si="11"/>
        <v>1350298.65</v>
      </c>
      <c r="J87" s="31">
        <f t="shared" si="11"/>
        <v>1386159.2300000002</v>
      </c>
      <c r="K87" s="31">
        <f t="shared" si="11"/>
        <v>1417720.21</v>
      </c>
      <c r="L87" s="31">
        <f t="shared" si="11"/>
        <v>1446346.4700000002</v>
      </c>
      <c r="M87" s="31">
        <f t="shared" si="11"/>
        <v>1472545.5299999998</v>
      </c>
      <c r="N87" s="31">
        <f t="shared" si="11"/>
        <v>1496971.42</v>
      </c>
      <c r="O87" s="31">
        <f t="shared" si="11"/>
        <v>1520241.14</v>
      </c>
    </row>
    <row r="88" spans="1:15" ht="15" thickTop="1" x14ac:dyDescent="0.35"/>
    <row r="89" spans="1:15" x14ac:dyDescent="0.35">
      <c r="C89" s="8" t="s">
        <v>4</v>
      </c>
    </row>
    <row r="90" spans="1:15" x14ac:dyDescent="0.35">
      <c r="C90" s="8" t="s">
        <v>53</v>
      </c>
    </row>
    <row r="91" spans="1:15" x14ac:dyDescent="0.35">
      <c r="A91" t="s">
        <v>4</v>
      </c>
      <c r="B91" t="s">
        <v>53</v>
      </c>
      <c r="C91" s="10" t="s">
        <v>15</v>
      </c>
      <c r="D91" s="14">
        <f t="shared" ref="D91:O91" si="12" xml:space="preserve"> D57-D75</f>
        <v>202824.3</v>
      </c>
      <c r="E91" s="14">
        <f t="shared" si="12"/>
        <v>206367.53999999998</v>
      </c>
      <c r="F91" s="14">
        <f t="shared" si="12"/>
        <v>209984.03</v>
      </c>
      <c r="G91" s="14">
        <f t="shared" si="12"/>
        <v>213590.66999999998</v>
      </c>
      <c r="H91" s="14">
        <f t="shared" si="12"/>
        <v>217229.16999999998</v>
      </c>
      <c r="I91" s="14">
        <f t="shared" si="12"/>
        <v>220942.16999999998</v>
      </c>
      <c r="J91" s="14">
        <f t="shared" si="12"/>
        <v>224687.87</v>
      </c>
      <c r="K91" s="14">
        <f t="shared" si="12"/>
        <v>228423.5</v>
      </c>
      <c r="L91" s="14">
        <f t="shared" si="12"/>
        <v>232278.07999999996</v>
      </c>
      <c r="M91" s="14">
        <f t="shared" si="12"/>
        <v>236122.98000000004</v>
      </c>
      <c r="N91" s="14">
        <f t="shared" si="12"/>
        <v>240001.32</v>
      </c>
      <c r="O91" s="14">
        <f t="shared" si="12"/>
        <v>243957.2</v>
      </c>
    </row>
    <row r="92" spans="1:15" x14ac:dyDescent="0.35">
      <c r="A92" t="s">
        <v>4</v>
      </c>
      <c r="B92" t="s">
        <v>53</v>
      </c>
      <c r="C92" s="10" t="s">
        <v>16</v>
      </c>
      <c r="D92" s="14">
        <f t="shared" ref="D92:O92" si="13" xml:space="preserve"> D58-D76</f>
        <v>140734.20000000001</v>
      </c>
      <c r="E92" s="14">
        <f t="shared" si="13"/>
        <v>142719.76999999999</v>
      </c>
      <c r="F92" s="14">
        <f t="shared" si="13"/>
        <v>144754.72999999998</v>
      </c>
      <c r="G92" s="14">
        <f t="shared" si="13"/>
        <v>146773.41999999998</v>
      </c>
      <c r="H92" s="14">
        <f t="shared" si="13"/>
        <v>148842.07</v>
      </c>
      <c r="I92" s="14">
        <f t="shared" si="13"/>
        <v>150894.27999999997</v>
      </c>
      <c r="J92" s="14">
        <f t="shared" si="13"/>
        <v>152929.61999999997</v>
      </c>
      <c r="K92" s="14">
        <f t="shared" si="13"/>
        <v>155049.22</v>
      </c>
      <c r="L92" s="14">
        <f t="shared" si="13"/>
        <v>157118.09</v>
      </c>
      <c r="M92" s="14">
        <f t="shared" si="13"/>
        <v>159203.66999999998</v>
      </c>
      <c r="N92" s="14">
        <f t="shared" si="13"/>
        <v>161340.50000000003</v>
      </c>
      <c r="O92" s="14">
        <f t="shared" si="13"/>
        <v>163460.00000000003</v>
      </c>
    </row>
    <row r="93" spans="1:15" x14ac:dyDescent="0.35">
      <c r="A93" t="s">
        <v>4</v>
      </c>
      <c r="B93" t="s">
        <v>53</v>
      </c>
      <c r="C93" s="10" t="s">
        <v>17</v>
      </c>
      <c r="D93" s="14">
        <f t="shared" ref="D93:O93" si="14" xml:space="preserve"> D59-D77</f>
        <v>214289</v>
      </c>
      <c r="E93" s="14">
        <f t="shared" si="14"/>
        <v>216561.68</v>
      </c>
      <c r="F93" s="14">
        <f t="shared" si="14"/>
        <v>218765.82000000004</v>
      </c>
      <c r="G93" s="14">
        <f t="shared" si="14"/>
        <v>220985.74000000002</v>
      </c>
      <c r="H93" s="14">
        <f t="shared" si="14"/>
        <v>223264.49</v>
      </c>
      <c r="I93" s="14">
        <f t="shared" si="14"/>
        <v>225516.40999999997</v>
      </c>
      <c r="J93" s="14">
        <f t="shared" si="14"/>
        <v>227784.34000000003</v>
      </c>
      <c r="K93" s="14">
        <f t="shared" si="14"/>
        <v>230024.69999999998</v>
      </c>
      <c r="L93" s="14">
        <f t="shared" si="14"/>
        <v>232324.7</v>
      </c>
      <c r="M93" s="14">
        <f t="shared" si="14"/>
        <v>234596.84</v>
      </c>
      <c r="N93" s="14">
        <f t="shared" si="14"/>
        <v>236840.52</v>
      </c>
      <c r="O93" s="14">
        <f t="shared" si="14"/>
        <v>239144.31999999998</v>
      </c>
    </row>
    <row r="94" spans="1:15" x14ac:dyDescent="0.35">
      <c r="A94" t="s">
        <v>4</v>
      </c>
      <c r="B94" t="s">
        <v>53</v>
      </c>
      <c r="C94" s="10" t="s">
        <v>18</v>
      </c>
      <c r="D94" s="14">
        <f t="shared" ref="D94:O94" si="15" xml:space="preserve"> D60-D78</f>
        <v>117321.60000000001</v>
      </c>
      <c r="E94" s="14">
        <f t="shared" si="15"/>
        <v>118019.01</v>
      </c>
      <c r="F94" s="14">
        <f t="shared" si="15"/>
        <v>118683.03</v>
      </c>
      <c r="G94" s="14">
        <f t="shared" si="15"/>
        <v>119349.97</v>
      </c>
      <c r="H94" s="14">
        <f t="shared" si="15"/>
        <v>120019.84999999999</v>
      </c>
      <c r="I94" s="14">
        <f t="shared" si="15"/>
        <v>120729.93999999999</v>
      </c>
      <c r="J94" s="14">
        <f t="shared" si="15"/>
        <v>121405.90999999999</v>
      </c>
      <c r="K94" s="14">
        <f t="shared" si="15"/>
        <v>122084.86000000002</v>
      </c>
      <c r="L94" s="14">
        <f t="shared" si="15"/>
        <v>122766.79000000001</v>
      </c>
      <c r="M94" s="14">
        <f t="shared" si="15"/>
        <v>123451.71</v>
      </c>
      <c r="N94" s="14">
        <f t="shared" si="15"/>
        <v>124177.91999999998</v>
      </c>
      <c r="O94" s="14">
        <f t="shared" si="15"/>
        <v>124869.05999999998</v>
      </c>
    </row>
    <row r="95" spans="1:15" x14ac:dyDescent="0.35">
      <c r="A95" t="s">
        <v>4</v>
      </c>
      <c r="B95" t="s">
        <v>53</v>
      </c>
      <c r="C95" s="10" t="s">
        <v>43</v>
      </c>
      <c r="D95" s="14">
        <f t="shared" ref="D95:O95" si="16" xml:space="preserve"> D61-D79</f>
        <v>94896.12</v>
      </c>
      <c r="E95" s="14">
        <f t="shared" si="16"/>
        <v>96098.37999999999</v>
      </c>
      <c r="F95" s="14">
        <f t="shared" si="16"/>
        <v>97259.959999999992</v>
      </c>
      <c r="G95" s="14">
        <f t="shared" si="16"/>
        <v>98430.48000000001</v>
      </c>
      <c r="H95" s="14">
        <f t="shared" si="16"/>
        <v>99660.640000000014</v>
      </c>
      <c r="I95" s="14">
        <f t="shared" si="16"/>
        <v>100849.46</v>
      </c>
      <c r="J95" s="14">
        <f t="shared" si="16"/>
        <v>102098.55999999998</v>
      </c>
      <c r="K95" s="14">
        <f t="shared" si="16"/>
        <v>103305.89</v>
      </c>
      <c r="L95" s="14">
        <f t="shared" si="16"/>
        <v>104522.40999999999</v>
      </c>
      <c r="M95" s="14">
        <f t="shared" si="16"/>
        <v>105748.17000000001</v>
      </c>
      <c r="N95" s="14">
        <f t="shared" si="16"/>
        <v>106983.22</v>
      </c>
      <c r="O95" s="14">
        <f t="shared" si="16"/>
        <v>108227.62000000001</v>
      </c>
    </row>
    <row r="96" spans="1:15" x14ac:dyDescent="0.35">
      <c r="A96" t="s">
        <v>4</v>
      </c>
      <c r="B96" t="s">
        <v>53</v>
      </c>
      <c r="C96" s="10" t="s">
        <v>44</v>
      </c>
      <c r="D96" s="14">
        <f t="shared" ref="D96:O96" si="17" xml:space="preserve"> D62-D80</f>
        <v>3619.34</v>
      </c>
      <c r="E96" s="14">
        <f t="shared" si="17"/>
        <v>15601.029999999999</v>
      </c>
      <c r="F96" s="14">
        <f t="shared" si="17"/>
        <v>21947.38</v>
      </c>
      <c r="G96" s="14">
        <f t="shared" si="17"/>
        <v>27000.379999999997</v>
      </c>
      <c r="H96" s="14">
        <f t="shared" si="17"/>
        <v>30992.03</v>
      </c>
      <c r="I96" s="14">
        <f t="shared" si="17"/>
        <v>34261.320000000007</v>
      </c>
      <c r="J96" s="14">
        <f t="shared" si="17"/>
        <v>36949.949999999997</v>
      </c>
      <c r="K96" s="14">
        <f t="shared" si="17"/>
        <v>39202.729999999996</v>
      </c>
      <c r="L96" s="14">
        <f t="shared" si="17"/>
        <v>41167.649999999994</v>
      </c>
      <c r="M96" s="14">
        <f t="shared" si="17"/>
        <v>42891.94999999999</v>
      </c>
      <c r="N96" s="14">
        <f t="shared" si="17"/>
        <v>44423.91</v>
      </c>
      <c r="O96" s="14">
        <f t="shared" si="17"/>
        <v>45812.860000000008</v>
      </c>
    </row>
    <row r="97" spans="1:15" x14ac:dyDescent="0.35">
      <c r="C97" s="8" t="s">
        <v>54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x14ac:dyDescent="0.35">
      <c r="A98" t="s">
        <v>4</v>
      </c>
      <c r="B98" t="s">
        <v>54</v>
      </c>
      <c r="C98" s="10" t="s">
        <v>15</v>
      </c>
      <c r="D98" s="14">
        <f t="shared" ref="D98:O98" si="18" xml:space="preserve"> D64-D82</f>
        <v>42954.9</v>
      </c>
      <c r="E98" s="14">
        <f t="shared" si="18"/>
        <v>60956.800000000017</v>
      </c>
      <c r="F98" s="14">
        <f t="shared" si="18"/>
        <v>75072.419999999984</v>
      </c>
      <c r="G98" s="14">
        <f t="shared" si="18"/>
        <v>86230.959999999992</v>
      </c>
      <c r="H98" s="14">
        <f t="shared" si="18"/>
        <v>95143.049999999988</v>
      </c>
      <c r="I98" s="14">
        <f t="shared" si="18"/>
        <v>102374.87999999999</v>
      </c>
      <c r="J98" s="14">
        <f t="shared" si="18"/>
        <v>108384.34</v>
      </c>
      <c r="K98" s="14">
        <f t="shared" si="18"/>
        <v>113435.73000000001</v>
      </c>
      <c r="L98" s="14">
        <f t="shared" si="18"/>
        <v>117799.85999999999</v>
      </c>
      <c r="M98" s="14">
        <f t="shared" si="18"/>
        <v>121629.79999999999</v>
      </c>
      <c r="N98" s="14">
        <f t="shared" si="18"/>
        <v>125040.74000000002</v>
      </c>
      <c r="O98" s="14">
        <f t="shared" si="18"/>
        <v>128192.52999999997</v>
      </c>
    </row>
    <row r="99" spans="1:15" x14ac:dyDescent="0.35">
      <c r="A99" t="s">
        <v>4</v>
      </c>
      <c r="B99" t="s">
        <v>54</v>
      </c>
      <c r="C99" s="10" t="s">
        <v>16</v>
      </c>
      <c r="D99" s="14">
        <f t="shared" ref="D99:O99" si="19" xml:space="preserve"> D65-D83</f>
        <v>29529</v>
      </c>
      <c r="E99" s="14">
        <f t="shared" si="19"/>
        <v>41767.11</v>
      </c>
      <c r="F99" s="14">
        <f t="shared" si="19"/>
        <v>51267.65</v>
      </c>
      <c r="G99" s="14">
        <f t="shared" si="19"/>
        <v>58728.490000000005</v>
      </c>
      <c r="H99" s="14">
        <f t="shared" si="19"/>
        <v>64645.229999999981</v>
      </c>
      <c r="I99" s="14">
        <f t="shared" si="19"/>
        <v>69399.53</v>
      </c>
      <c r="J99" s="14">
        <f t="shared" si="19"/>
        <v>73287.259999999995</v>
      </c>
      <c r="K99" s="14">
        <f t="shared" si="19"/>
        <v>76483.990000000005</v>
      </c>
      <c r="L99" s="14">
        <f t="shared" si="19"/>
        <v>79201.650000000009</v>
      </c>
      <c r="M99" s="14">
        <f t="shared" si="19"/>
        <v>81560.49000000002</v>
      </c>
      <c r="N99" s="14">
        <f t="shared" si="19"/>
        <v>83618.86</v>
      </c>
      <c r="O99" s="14">
        <f t="shared" si="19"/>
        <v>85469.12000000001</v>
      </c>
    </row>
    <row r="100" spans="1:15" x14ac:dyDescent="0.35">
      <c r="A100" t="s">
        <v>4</v>
      </c>
      <c r="B100" t="s">
        <v>54</v>
      </c>
      <c r="C100" s="10" t="s">
        <v>17</v>
      </c>
      <c r="D100" s="14">
        <f t="shared" ref="D100:O100" si="20" xml:space="preserve"> D66-D84</f>
        <v>43508.5</v>
      </c>
      <c r="E100" s="14">
        <f t="shared" si="20"/>
        <v>62821.680000000008</v>
      </c>
      <c r="F100" s="14">
        <f t="shared" si="20"/>
        <v>77684.009999999995</v>
      </c>
      <c r="G100" s="14">
        <f t="shared" si="20"/>
        <v>89242.63</v>
      </c>
      <c r="H100" s="14">
        <f t="shared" si="20"/>
        <v>98261.07</v>
      </c>
      <c r="I100" s="14">
        <f t="shared" si="20"/>
        <v>105396.82</v>
      </c>
      <c r="J100" s="14">
        <f t="shared" si="20"/>
        <v>111073.72</v>
      </c>
      <c r="K100" s="14">
        <f t="shared" si="20"/>
        <v>115683.72999999998</v>
      </c>
      <c r="L100" s="14">
        <f t="shared" si="20"/>
        <v>119501.98</v>
      </c>
      <c r="M100" s="14">
        <f t="shared" si="20"/>
        <v>122683.51999999999</v>
      </c>
      <c r="N100" s="14">
        <f t="shared" si="20"/>
        <v>125386.98000000001</v>
      </c>
      <c r="O100" s="14">
        <f t="shared" si="20"/>
        <v>127774.54999999999</v>
      </c>
    </row>
    <row r="101" spans="1:15" x14ac:dyDescent="0.35">
      <c r="A101" t="s">
        <v>4</v>
      </c>
      <c r="B101" t="s">
        <v>54</v>
      </c>
      <c r="C101" s="10" t="s">
        <v>18</v>
      </c>
      <c r="D101" s="14">
        <f t="shared" ref="D101:O101" si="21" xml:space="preserve"> D67-D85</f>
        <v>21506.1</v>
      </c>
      <c r="E101" s="14">
        <f t="shared" si="21"/>
        <v>32458.099999999991</v>
      </c>
      <c r="F101" s="14">
        <f t="shared" si="21"/>
        <v>40792.119999999995</v>
      </c>
      <c r="G101" s="14">
        <f t="shared" si="21"/>
        <v>47195.270000000004</v>
      </c>
      <c r="H101" s="14">
        <f t="shared" si="21"/>
        <v>52090.080000000009</v>
      </c>
      <c r="I101" s="14">
        <f t="shared" si="21"/>
        <v>55909.029999999992</v>
      </c>
      <c r="J101" s="14">
        <f t="shared" si="21"/>
        <v>58881.789999999994</v>
      </c>
      <c r="K101" s="14">
        <f t="shared" si="21"/>
        <v>61207.810000000012</v>
      </c>
      <c r="L101" s="14">
        <f t="shared" si="21"/>
        <v>63091.130000000005</v>
      </c>
      <c r="M101" s="14">
        <f t="shared" si="21"/>
        <v>64596.239999999991</v>
      </c>
      <c r="N101" s="14">
        <f t="shared" si="21"/>
        <v>65825.440000000002</v>
      </c>
      <c r="O101" s="14">
        <f t="shared" si="21"/>
        <v>66846.940000000017</v>
      </c>
    </row>
    <row r="102" spans="1:15" x14ac:dyDescent="0.35">
      <c r="A102" t="s">
        <v>4</v>
      </c>
      <c r="B102" t="s">
        <v>54</v>
      </c>
      <c r="C102" s="10" t="s">
        <v>20</v>
      </c>
      <c r="D102" s="14">
        <f t="shared" ref="D102:O102" si="22" xml:space="preserve"> D68-D86</f>
        <v>19460.22</v>
      </c>
      <c r="E102" s="14">
        <f t="shared" si="22"/>
        <v>21577.449999999997</v>
      </c>
      <c r="F102" s="14">
        <f t="shared" si="22"/>
        <v>24535.160000000003</v>
      </c>
      <c r="G102" s="14">
        <f t="shared" si="22"/>
        <v>28105.200000000001</v>
      </c>
      <c r="H102" s="14">
        <f t="shared" si="22"/>
        <v>32248.690000000002</v>
      </c>
      <c r="I102" s="14">
        <f t="shared" si="22"/>
        <v>36827.999999999993</v>
      </c>
      <c r="J102" s="14">
        <f t="shared" si="22"/>
        <v>41751.460000000006</v>
      </c>
      <c r="K102" s="14">
        <f t="shared" si="22"/>
        <v>47024.24</v>
      </c>
      <c r="L102" s="14">
        <f t="shared" si="22"/>
        <v>52552.1</v>
      </c>
      <c r="M102" s="14">
        <f t="shared" si="22"/>
        <v>58338.62</v>
      </c>
      <c r="N102" s="14">
        <f t="shared" si="22"/>
        <v>64337.180000000008</v>
      </c>
      <c r="O102" s="14">
        <f t="shared" si="22"/>
        <v>70550.599999999991</v>
      </c>
    </row>
    <row r="103" spans="1:15" ht="15" thickBot="1" x14ac:dyDescent="0.4">
      <c r="C103" s="45" t="s">
        <v>61</v>
      </c>
      <c r="D103" s="31">
        <f xml:space="preserve"> SUM(D91:D102)</f>
        <v>930643.27999999991</v>
      </c>
      <c r="E103" s="31">
        <f t="shared" ref="E103:O103" si="23" xml:space="preserve"> SUM(E91:E102)</f>
        <v>1014948.55</v>
      </c>
      <c r="F103" s="31">
        <f t="shared" si="23"/>
        <v>1080746.31</v>
      </c>
      <c r="G103" s="31">
        <f t="shared" si="23"/>
        <v>1135633.2099999997</v>
      </c>
      <c r="H103" s="31">
        <f t="shared" si="23"/>
        <v>1182396.3700000001</v>
      </c>
      <c r="I103" s="31">
        <f t="shared" si="23"/>
        <v>1223101.8399999999</v>
      </c>
      <c r="J103" s="31">
        <f t="shared" si="23"/>
        <v>1259234.82</v>
      </c>
      <c r="K103" s="31">
        <f t="shared" si="23"/>
        <v>1291926.3999999999</v>
      </c>
      <c r="L103" s="31">
        <f t="shared" si="23"/>
        <v>1322324.44</v>
      </c>
      <c r="M103" s="31">
        <f t="shared" si="23"/>
        <v>1350823.99</v>
      </c>
      <c r="N103" s="31">
        <f t="shared" si="23"/>
        <v>1377976.5899999999</v>
      </c>
      <c r="O103" s="31">
        <f t="shared" si="23"/>
        <v>1404304.8</v>
      </c>
    </row>
    <row r="104" spans="1:15" ht="15" thickTop="1" x14ac:dyDescent="0.35"/>
    <row r="106" spans="1:15" x14ac:dyDescent="0.35">
      <c r="C106" s="8" t="s">
        <v>11</v>
      </c>
    </row>
    <row r="107" spans="1:15" x14ac:dyDescent="0.35">
      <c r="A107" t="s">
        <v>64</v>
      </c>
      <c r="B107" t="s">
        <v>5</v>
      </c>
      <c r="C107" t="s">
        <v>5</v>
      </c>
      <c r="D107" s="43">
        <f t="shared" ref="D107:O107" si="24" xml:space="preserve"> D11</f>
        <v>194096</v>
      </c>
      <c r="E107" s="43">
        <f t="shared" si="24"/>
        <v>197980</v>
      </c>
      <c r="F107" s="43">
        <f t="shared" si="24"/>
        <v>201936</v>
      </c>
      <c r="G107" s="43">
        <f t="shared" si="24"/>
        <v>205976</v>
      </c>
      <c r="H107" s="43">
        <f t="shared" si="24"/>
        <v>210096</v>
      </c>
      <c r="I107" s="43">
        <f t="shared" si="24"/>
        <v>214296</v>
      </c>
      <c r="J107" s="43">
        <f t="shared" si="24"/>
        <v>218584</v>
      </c>
      <c r="K107" s="43">
        <f t="shared" si="24"/>
        <v>222956</v>
      </c>
      <c r="L107" s="43">
        <f t="shared" si="24"/>
        <v>227416</v>
      </c>
      <c r="M107" s="43">
        <f t="shared" si="24"/>
        <v>231964</v>
      </c>
      <c r="N107" s="43">
        <f t="shared" si="24"/>
        <v>236604</v>
      </c>
      <c r="O107" s="43">
        <f t="shared" si="24"/>
        <v>241336</v>
      </c>
    </row>
    <row r="108" spans="1:15" x14ac:dyDescent="0.35">
      <c r="A108" t="s">
        <v>64</v>
      </c>
      <c r="B108" t="s">
        <v>62</v>
      </c>
      <c r="C108" t="s">
        <v>62</v>
      </c>
      <c r="D108" s="14">
        <f t="shared" ref="D108:O108" si="25" xml:space="preserve"> fixed_opex</f>
        <v>150000</v>
      </c>
      <c r="E108" s="14">
        <f t="shared" si="25"/>
        <v>150000</v>
      </c>
      <c r="F108" s="14">
        <f t="shared" si="25"/>
        <v>150000</v>
      </c>
      <c r="G108" s="14">
        <f t="shared" si="25"/>
        <v>150000</v>
      </c>
      <c r="H108" s="14">
        <f t="shared" si="25"/>
        <v>150000</v>
      </c>
      <c r="I108" s="14">
        <f t="shared" si="25"/>
        <v>150000</v>
      </c>
      <c r="J108" s="14">
        <f t="shared" si="25"/>
        <v>150000</v>
      </c>
      <c r="K108" s="14">
        <f t="shared" si="25"/>
        <v>150000</v>
      </c>
      <c r="L108" s="14">
        <f t="shared" si="25"/>
        <v>150000</v>
      </c>
      <c r="M108" s="14">
        <f t="shared" si="25"/>
        <v>150000</v>
      </c>
      <c r="N108" s="14">
        <f t="shared" si="25"/>
        <v>150000</v>
      </c>
      <c r="O108" s="14">
        <f t="shared" si="25"/>
        <v>150000</v>
      </c>
    </row>
    <row r="109" spans="1:15" ht="15" thickBot="1" x14ac:dyDescent="0.4">
      <c r="C109" s="29" t="s">
        <v>63</v>
      </c>
      <c r="D109" s="31">
        <f xml:space="preserve"> D107+D108</f>
        <v>344096</v>
      </c>
      <c r="E109" s="31">
        <f t="shared" ref="E109:O109" si="26" xml:space="preserve"> E107+E108</f>
        <v>347980</v>
      </c>
      <c r="F109" s="31">
        <f t="shared" si="26"/>
        <v>351936</v>
      </c>
      <c r="G109" s="31">
        <f t="shared" si="26"/>
        <v>355976</v>
      </c>
      <c r="H109" s="31">
        <f t="shared" si="26"/>
        <v>360096</v>
      </c>
      <c r="I109" s="31">
        <f t="shared" si="26"/>
        <v>364296</v>
      </c>
      <c r="J109" s="31">
        <f t="shared" si="26"/>
        <v>368584</v>
      </c>
      <c r="K109" s="31">
        <f t="shared" si="26"/>
        <v>372956</v>
      </c>
      <c r="L109" s="31">
        <f t="shared" si="26"/>
        <v>377416</v>
      </c>
      <c r="M109" s="31">
        <f t="shared" si="26"/>
        <v>381964</v>
      </c>
      <c r="N109" s="31">
        <f t="shared" si="26"/>
        <v>386604</v>
      </c>
      <c r="O109" s="31">
        <f t="shared" si="26"/>
        <v>391336</v>
      </c>
    </row>
    <row r="110" spans="1:15" ht="15" thickTop="1" x14ac:dyDescent="0.35"/>
    <row r="111" spans="1:15" x14ac:dyDescent="0.35">
      <c r="C111" s="8" t="s">
        <v>6</v>
      </c>
    </row>
    <row r="112" spans="1:15" x14ac:dyDescent="0.35">
      <c r="C112" t="s">
        <v>4</v>
      </c>
      <c r="D112" s="43">
        <f xml:space="preserve"> D103</f>
        <v>930643.27999999991</v>
      </c>
      <c r="E112" s="43">
        <f t="shared" ref="E112:O112" si="27" xml:space="preserve"> E103</f>
        <v>1014948.55</v>
      </c>
      <c r="F112" s="43">
        <f t="shared" si="27"/>
        <v>1080746.31</v>
      </c>
      <c r="G112" s="43">
        <f t="shared" si="27"/>
        <v>1135633.2099999997</v>
      </c>
      <c r="H112" s="43">
        <f t="shared" si="27"/>
        <v>1182396.3700000001</v>
      </c>
      <c r="I112" s="43">
        <f t="shared" si="27"/>
        <v>1223101.8399999999</v>
      </c>
      <c r="J112" s="43">
        <f t="shared" si="27"/>
        <v>1259234.82</v>
      </c>
      <c r="K112" s="43">
        <f t="shared" si="27"/>
        <v>1291926.3999999999</v>
      </c>
      <c r="L112" s="43">
        <f t="shared" si="27"/>
        <v>1322324.44</v>
      </c>
      <c r="M112" s="43">
        <f t="shared" si="27"/>
        <v>1350823.99</v>
      </c>
      <c r="N112" s="43">
        <f t="shared" si="27"/>
        <v>1377976.5899999999</v>
      </c>
      <c r="O112" s="43">
        <f t="shared" si="27"/>
        <v>1404304.8</v>
      </c>
    </row>
    <row r="113" spans="3:15" x14ac:dyDescent="0.35">
      <c r="C113" t="s">
        <v>5</v>
      </c>
      <c r="D113" s="43">
        <f xml:space="preserve"> D107</f>
        <v>194096</v>
      </c>
      <c r="E113" s="43">
        <f t="shared" ref="E113:O113" si="28" xml:space="preserve"> E107</f>
        <v>197980</v>
      </c>
      <c r="F113" s="43">
        <f t="shared" si="28"/>
        <v>201936</v>
      </c>
      <c r="G113" s="43">
        <f t="shared" si="28"/>
        <v>205976</v>
      </c>
      <c r="H113" s="43">
        <f t="shared" si="28"/>
        <v>210096</v>
      </c>
      <c r="I113" s="43">
        <f t="shared" si="28"/>
        <v>214296</v>
      </c>
      <c r="J113" s="43">
        <f t="shared" si="28"/>
        <v>218584</v>
      </c>
      <c r="K113" s="43">
        <f t="shared" si="28"/>
        <v>222956</v>
      </c>
      <c r="L113" s="43">
        <f t="shared" si="28"/>
        <v>227416</v>
      </c>
      <c r="M113" s="43">
        <f t="shared" si="28"/>
        <v>231964</v>
      </c>
      <c r="N113" s="43">
        <f t="shared" si="28"/>
        <v>236604</v>
      </c>
      <c r="O113" s="43">
        <f t="shared" si="28"/>
        <v>241336</v>
      </c>
    </row>
    <row r="114" spans="3:15" ht="15" thickBot="1" x14ac:dyDescent="0.4">
      <c r="C114" s="29" t="s">
        <v>6</v>
      </c>
      <c r="D114" s="31">
        <f xml:space="preserve"> D112-D113</f>
        <v>736547.27999999991</v>
      </c>
      <c r="E114" s="31">
        <f t="shared" ref="E114:O114" si="29" xml:space="preserve"> E112-E113</f>
        <v>816968.55</v>
      </c>
      <c r="F114" s="31">
        <f t="shared" si="29"/>
        <v>878810.31</v>
      </c>
      <c r="G114" s="31">
        <f t="shared" si="29"/>
        <v>929657.20999999973</v>
      </c>
      <c r="H114" s="31">
        <f t="shared" si="29"/>
        <v>972300.37000000011</v>
      </c>
      <c r="I114" s="31">
        <f t="shared" si="29"/>
        <v>1008805.8399999999</v>
      </c>
      <c r="J114" s="31">
        <f t="shared" si="29"/>
        <v>1040650.8200000001</v>
      </c>
      <c r="K114" s="31">
        <f t="shared" si="29"/>
        <v>1068970.3999999999</v>
      </c>
      <c r="L114" s="31">
        <f t="shared" si="29"/>
        <v>1094908.44</v>
      </c>
      <c r="M114" s="31">
        <f t="shared" si="29"/>
        <v>1118859.99</v>
      </c>
      <c r="N114" s="31">
        <f t="shared" si="29"/>
        <v>1141372.5899999999</v>
      </c>
      <c r="O114" s="31">
        <f t="shared" si="29"/>
        <v>1162968.8</v>
      </c>
    </row>
    <row r="115" spans="3:15" ht="15" thickTop="1" x14ac:dyDescent="0.35"/>
    <row r="116" spans="3:15" x14ac:dyDescent="0.35">
      <c r="C116" s="8" t="s">
        <v>3</v>
      </c>
    </row>
    <row r="117" spans="3:15" x14ac:dyDescent="0.35">
      <c r="C117" t="s">
        <v>6</v>
      </c>
      <c r="D117" s="43">
        <f xml:space="preserve"> D114</f>
        <v>736547.27999999991</v>
      </c>
      <c r="E117" s="43">
        <f t="shared" ref="E117:O117" si="30" xml:space="preserve"> E114</f>
        <v>816968.55</v>
      </c>
      <c r="F117" s="43">
        <f t="shared" si="30"/>
        <v>878810.31</v>
      </c>
      <c r="G117" s="43">
        <f t="shared" si="30"/>
        <v>929657.20999999973</v>
      </c>
      <c r="H117" s="43">
        <f t="shared" si="30"/>
        <v>972300.37000000011</v>
      </c>
      <c r="I117" s="43">
        <f t="shared" si="30"/>
        <v>1008805.8399999999</v>
      </c>
      <c r="J117" s="43">
        <f t="shared" si="30"/>
        <v>1040650.8200000001</v>
      </c>
      <c r="K117" s="43">
        <f t="shared" si="30"/>
        <v>1068970.3999999999</v>
      </c>
      <c r="L117" s="43">
        <f t="shared" si="30"/>
        <v>1094908.44</v>
      </c>
      <c r="M117" s="43">
        <f t="shared" si="30"/>
        <v>1118859.99</v>
      </c>
      <c r="N117" s="43">
        <f t="shared" si="30"/>
        <v>1141372.5899999999</v>
      </c>
      <c r="O117" s="43">
        <f t="shared" si="30"/>
        <v>1162968.8</v>
      </c>
    </row>
    <row r="118" spans="3:15" x14ac:dyDescent="0.35">
      <c r="C118" t="s">
        <v>12</v>
      </c>
      <c r="D118" s="43">
        <f xml:space="preserve"> D108</f>
        <v>150000</v>
      </c>
      <c r="E118" s="43">
        <f t="shared" ref="E118:O118" si="31" xml:space="preserve"> E108</f>
        <v>150000</v>
      </c>
      <c r="F118" s="43">
        <f t="shared" si="31"/>
        <v>150000</v>
      </c>
      <c r="G118" s="43">
        <f t="shared" si="31"/>
        <v>150000</v>
      </c>
      <c r="H118" s="43">
        <f t="shared" si="31"/>
        <v>150000</v>
      </c>
      <c r="I118" s="43">
        <f t="shared" si="31"/>
        <v>150000</v>
      </c>
      <c r="J118" s="43">
        <f t="shared" si="31"/>
        <v>150000</v>
      </c>
      <c r="K118" s="43">
        <f t="shared" si="31"/>
        <v>150000</v>
      </c>
      <c r="L118" s="43">
        <f t="shared" si="31"/>
        <v>150000</v>
      </c>
      <c r="M118" s="43">
        <f t="shared" si="31"/>
        <v>150000</v>
      </c>
      <c r="N118" s="43">
        <f t="shared" si="31"/>
        <v>150000</v>
      </c>
      <c r="O118" s="43">
        <f t="shared" si="31"/>
        <v>150000</v>
      </c>
    </row>
    <row r="119" spans="3:15" ht="15" thickBot="1" x14ac:dyDescent="0.4">
      <c r="C119" s="29" t="s">
        <v>3</v>
      </c>
      <c r="D119" s="31">
        <f xml:space="preserve"> D117-D118</f>
        <v>586547.27999999991</v>
      </c>
      <c r="E119" s="31">
        <f t="shared" ref="E119:O119" si="32" xml:space="preserve"> E117-E118</f>
        <v>666968.55000000005</v>
      </c>
      <c r="F119" s="31">
        <f t="shared" si="32"/>
        <v>728810.31</v>
      </c>
      <c r="G119" s="31">
        <f t="shared" si="32"/>
        <v>779657.20999999973</v>
      </c>
      <c r="H119" s="31">
        <f t="shared" si="32"/>
        <v>822300.37000000011</v>
      </c>
      <c r="I119" s="31">
        <f t="shared" si="32"/>
        <v>858805.83999999985</v>
      </c>
      <c r="J119" s="31">
        <f t="shared" si="32"/>
        <v>890650.82000000007</v>
      </c>
      <c r="K119" s="31">
        <f t="shared" si="32"/>
        <v>918970.39999999991</v>
      </c>
      <c r="L119" s="31">
        <f t="shared" si="32"/>
        <v>944908.44</v>
      </c>
      <c r="M119" s="31">
        <f t="shared" si="32"/>
        <v>968859.99</v>
      </c>
      <c r="N119" s="31">
        <f t="shared" si="32"/>
        <v>991372.58999999985</v>
      </c>
      <c r="O119" s="31">
        <f t="shared" si="32"/>
        <v>1012968.8</v>
      </c>
    </row>
    <row r="120" spans="3:15" ht="15" thickTop="1" x14ac:dyDescent="0.35"/>
  </sheetData>
  <pageMargins left="0.7" right="0.7" top="0.75" bottom="0.75" header="0.3" footer="0.3"/>
  <pageSetup orientation="portrait" r:id="rId1"/>
  <cellWatches>
    <cellWatch r="O6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Assumptions</vt:lpstr>
      <vt:lpstr>Monthlies</vt:lpstr>
      <vt:lpstr>aov_g_pct</vt:lpstr>
      <vt:lpstr>cogs_g_pct</vt:lpstr>
      <vt:lpstr>fixed_opex</vt:lpstr>
      <vt:lpstr>ini_mktg_spend</vt:lpstr>
      <vt:lpstr>mktg_g_pct</vt:lpstr>
      <vt:lpstr>model_duration</vt:lpstr>
      <vt:lpstr>model_start_date</vt:lpstr>
      <vt:lpstr>returns_discounts_pct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Heffernan</dc:creator>
  <cp:lastModifiedBy>Ethan T Heffernan</cp:lastModifiedBy>
  <cp:lastPrinted>2025-09-25T19:24:00Z</cp:lastPrinted>
  <dcterms:created xsi:type="dcterms:W3CDTF">2025-09-19T23:27:10Z</dcterms:created>
  <dcterms:modified xsi:type="dcterms:W3CDTF">2025-10-10T02:28:32Z</dcterms:modified>
</cp:coreProperties>
</file>