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ef\Documents\ethanheffernan.com\"/>
    </mc:Choice>
  </mc:AlternateContent>
  <xr:revisionPtr revIDLastSave="0" documentId="13_ncr:1_{53114FBA-3BC8-4B03-9A11-AB1335F35C16}" xr6:coauthVersionLast="47" xr6:coauthVersionMax="47" xr10:uidLastSave="{00000000-0000-0000-0000-000000000000}"/>
  <bookViews>
    <workbookView xWindow="-110" yWindow="-110" windowWidth="25180" windowHeight="16860" activeTab="2" xr2:uid="{06AF9250-A94F-4A85-848C-E689CD3142F9}"/>
  </bookViews>
  <sheets>
    <sheet name="Cover" sheetId="4" r:id="rId1"/>
    <sheet name="Assumptions" sheetId="3" r:id="rId2"/>
    <sheet name="Model" sheetId="1" r:id="rId3"/>
  </sheets>
  <definedNames>
    <definedName name="Amortization_Start_Date">Model!$L$80</definedName>
    <definedName name="average_monthly_salary">Assumptions!$R$23</definedName>
    <definedName name="base_cost_kWh">Assumptions!$R$8</definedName>
    <definedName name="base_price_kWh">Assumptions!$R$7</definedName>
    <definedName name="benefits_pct">Assumptions!$R$25</definedName>
    <definedName name="CapEx">Model!$C$11:$DS$11</definedName>
    <definedName name="CapEx_Summation">Model!$O$66</definedName>
    <definedName name="cars_initial">Assumptions!$L$12</definedName>
    <definedName name="Cash_Flows">Model!$C$61:$DS$61</definedName>
    <definedName name="Construction">Model!$C$9:$DS$9</definedName>
    <definedName name="Construction_Cost">Assumptions!$F$13</definedName>
    <definedName name="Construction_Duration">Assumptions!$F$14</definedName>
    <definedName name="cost_kWh">Model!$C$29:$DS$29</definedName>
    <definedName name="Cost_of_Land">Assumptions!$F$12</definedName>
    <definedName name="Debt_pct">Assumptions!$F$22</definedName>
    <definedName name="discount_rate">Assumptions!$F$28</definedName>
    <definedName name="EBITDA">Model!$C$56:$DS$56</definedName>
    <definedName name="Electricity_Expenses">Model!$C$35:$DS$35</definedName>
    <definedName name="electricity_sales_revenue">Model!$C$36:$DS$36</definedName>
    <definedName name="Employee_Benefits_Expense">Model!$C$48:$DS$48</definedName>
    <definedName name="employee_count">Model!$O$65</definedName>
    <definedName name="Equipment_Advance">Model!$C$10:$DS$10</definedName>
    <definedName name="Equipment_Cost">Assumptions!$F$15</definedName>
    <definedName name="equity_contribution">Model!$C$12:$DS$12</definedName>
    <definedName name="Equity_Total">Model!$O$68</definedName>
    <definedName name="ev_ebitda_multiple">Assumptions!$F$27</definedName>
    <definedName name="FCFE">Model!$C$62:$DS$62</definedName>
    <definedName name="Fixed_Operating_Expenses">Model!$C$50:$DS$50</definedName>
    <definedName name="gross_revenue">Model!$C$54:$DS$54</definedName>
    <definedName name="growth_rate_slow">Assumptions!$L$11</definedName>
    <definedName name="growth_slowdown_date">Model!$L$81</definedName>
    <definedName name="i_rate">Assumptions!$F$23</definedName>
    <definedName name="In_Store_Sales_Expenses">Model!$C$42:$DS$42</definedName>
    <definedName name="inflation_electricity">Assumptions!$R$9</definedName>
    <definedName name="inflation_opex">Assumptions!$R$27</definedName>
    <definedName name="inflation_store">Assumptions!$R$10</definedName>
    <definedName name="Installment_Amt_1">Assumptions!$F$16</definedName>
    <definedName name="Installment_Amt_2">Assumptions!$F$18</definedName>
    <definedName name="Installment_Date_1">Assumptions!$F$17</definedName>
    <definedName name="Installment_Date_2">Assumptions!$F$19</definedName>
    <definedName name="interest">Model!$C$18:$DS$18</definedName>
    <definedName name="Interest_Start_Date">Model!$L$79</definedName>
    <definedName name="Land">Model!$C$8:$DS$8</definedName>
    <definedName name="Liquidation_cf">Model!$C$61:$DS$61</definedName>
    <definedName name="loan_add">Model!$C$17:$DS$17</definedName>
    <definedName name="loan_draw">Model!$C$13:$DS$13</definedName>
    <definedName name="Loan_Total">Model!$O$67</definedName>
    <definedName name="mini_avg_charge">Assumptions!$L$16</definedName>
    <definedName name="mini_batt_capacity">Assumptions!$K$16</definedName>
    <definedName name="mini_customer_FCST">Model!$C$23:$DS$23</definedName>
    <definedName name="Mini_Customers_In_Store_Sales">Model!$C$39:$DS$39</definedName>
    <definedName name="Mini_Customers_Usage__kWh">Model!$C$31:$DS$31</definedName>
    <definedName name="mini_growth">Assumptions!$L$7</definedName>
    <definedName name="mini_ini_pct">Assumptions!$K$7</definedName>
    <definedName name="mini_initial">Model!$O$71</definedName>
    <definedName name="mini_sales_per_car">Assumptions!$R$16</definedName>
    <definedName name="mini_take_rate">Assumptions!$Q$16</definedName>
    <definedName name="misc_expenses">Assumptions!$R$26</definedName>
    <definedName name="Miscellaneous_Expense">Model!$C$49:$DS$49</definedName>
    <definedName name="Model_Start_Date">Assumptions!$F$8</definedName>
    <definedName name="Month">Model!$C$6:$DS$6</definedName>
    <definedName name="monthly_subsidy">Model!$C$59:$DS$59</definedName>
    <definedName name="Operating_Expenses">Model!$C$55:$DS$55</definedName>
    <definedName name="ops_slowdown_mo">Model!$O$70</definedName>
    <definedName name="ops_start_date">Model!$L$82</definedName>
    <definedName name="ops_start_mo">Model!$O$69</definedName>
    <definedName name="payment">Model!$C$19:$DS$19</definedName>
    <definedName name="Period_End">Model!$C$5:$DS$5</definedName>
    <definedName name="period_ending_balance">Model!$C$20:$DS$20</definedName>
    <definedName name="period_start">Model!$C$4:$DS$4</definedName>
    <definedName name="period_starting_balance">Model!$C$16:$DS$16</definedName>
    <definedName name="prem_avg_charge">Model!$O$64</definedName>
    <definedName name="prem_batt_capacity">Assumptions!$K$18</definedName>
    <definedName name="prem_customer_FCST">Model!$C$25:$DS$25</definedName>
    <definedName name="prem_growth">Assumptions!$L$9</definedName>
    <definedName name="prem_ini_pct">Assumptions!$K$9</definedName>
    <definedName name="prem_initial">Model!$O$73</definedName>
    <definedName name="prem_sales_per_car">Assumptions!$R$18</definedName>
    <definedName name="prem_take_rate">Assumptions!$Q$18</definedName>
    <definedName name="Premium_Customers_In_Store_Sales">Model!$C$41:$DS$41</definedName>
    <definedName name="Premium_Customers_Usage__kWh">Model!$C$33:$DS$33</definedName>
    <definedName name="price_kWh">Model!$C$30:$DS$30</definedName>
    <definedName name="principal_repayment">Model!$C$19:$DS$19</definedName>
    <definedName name="reg_avg_charge">Assumptions!$L$17</definedName>
    <definedName name="reg_batt_capacity">Assumptions!$K$17</definedName>
    <definedName name="reg_customer_FCST">Model!$C$24:$DS$24</definedName>
    <definedName name="reg_growth">Assumptions!$L$8</definedName>
    <definedName name="reg_ini_pct">Assumptions!$K$8</definedName>
    <definedName name="reg_initial">Model!$O$72</definedName>
    <definedName name="reg_sales_per_car">Assumptions!$R$17</definedName>
    <definedName name="reg_take_rate">Assumptions!$Q$17</definedName>
    <definedName name="Regular_Customers_In_Store_Sales">Model!$C$40:$DS$40</definedName>
    <definedName name="Regular_Customers_Usage__kWh">Model!$C$32:$DS$32</definedName>
    <definedName name="Repayment_Start_Date">Model!$L$80</definedName>
    <definedName name="repayment_years">Assumptions!$F$24</definedName>
    <definedName name="Salary_Expense">Model!$C$46:$DS$46</definedName>
    <definedName name="Social_Security_Tax_Expense">Model!$C$47:$DS$47</definedName>
    <definedName name="social_security_tax_pct">Assumptions!$R$24</definedName>
    <definedName name="store_COS_pct">Assumptions!$R$19</definedName>
    <definedName name="store_sales_revenue">Model!$C$43:$DS$43</definedName>
    <definedName name="Subsidized_EBITDA">Model!$C$60:$DS$60</definedName>
    <definedName name="subsidy_annual">Model!$I$68:$K$68</definedName>
    <definedName name="subsidy_fraction_2023">Assumptions!$L$23</definedName>
    <definedName name="subsidy_fraction_2024">Assumptions!$L$24</definedName>
    <definedName name="subsidy_year">Model!$I$65:$K$65</definedName>
    <definedName name="target_ebitda_2022">Assumptions!$L$22</definedName>
    <definedName name="Terminal_CF">Model!$C$61:$DS$61</definedName>
    <definedName name="terminal_value">Model!$O$74</definedName>
    <definedName name="total_kWh">Model!$C$34:$DS$34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1" i="1" l="1"/>
  <c r="E70" i="1"/>
  <c r="E69" i="1"/>
  <c r="E94" i="1"/>
  <c r="E95" i="1"/>
  <c r="C9" i="1"/>
  <c r="C8" i="1"/>
  <c r="E84" i="1"/>
  <c r="O73" i="1"/>
  <c r="O72" i="1"/>
  <c r="O71" i="1"/>
  <c r="A2" i="1"/>
  <c r="F18" i="3" l="1"/>
  <c r="B2" i="3"/>
  <c r="D5" i="1" l="1"/>
  <c r="D59" i="1" l="1"/>
  <c r="D61" i="1"/>
  <c r="D10" i="1" a="1"/>
  <c r="D10" i="1" s="1"/>
  <c r="D19" i="1"/>
  <c r="D6" i="1"/>
  <c r="C5" i="1"/>
  <c r="E4" i="1"/>
  <c r="C61" i="1" l="1"/>
  <c r="C10" i="1" a="1"/>
  <c r="C10" i="1" s="1"/>
  <c r="C11" i="1" s="1"/>
  <c r="D8" i="1"/>
  <c r="D9" i="1"/>
  <c r="C59" i="1"/>
  <c r="C18" i="1"/>
  <c r="C16" i="1"/>
  <c r="C19" i="1"/>
  <c r="E6" i="1"/>
  <c r="E5" i="1"/>
  <c r="C12" i="1" l="1"/>
  <c r="E59" i="1"/>
  <c r="E19" i="1"/>
  <c r="E61" i="1"/>
  <c r="E10" i="1" a="1"/>
  <c r="E10" i="1" s="1"/>
  <c r="E8" i="1"/>
  <c r="E9" i="1"/>
  <c r="D11" i="1"/>
  <c r="F6" i="1"/>
  <c r="C13" i="1"/>
  <c r="F4" i="1"/>
  <c r="F8" i="1" l="1"/>
  <c r="F9" i="1"/>
  <c r="D13" i="1"/>
  <c r="D17" i="1" s="1"/>
  <c r="D12" i="1"/>
  <c r="E11" i="1"/>
  <c r="C17" i="1"/>
  <c r="C20" i="1" s="1"/>
  <c r="D16" i="1" s="1"/>
  <c r="F5" i="1"/>
  <c r="G6" i="1"/>
  <c r="G8" i="1" l="1"/>
  <c r="G9" i="1"/>
  <c r="F19" i="1"/>
  <c r="F59" i="1"/>
  <c r="F10" i="1" a="1"/>
  <c r="F10" i="1" s="1"/>
  <c r="F11" i="1" s="1"/>
  <c r="F61" i="1"/>
  <c r="E13" i="1"/>
  <c r="E17" i="1" s="1"/>
  <c r="E12" i="1"/>
  <c r="D18" i="1"/>
  <c r="D20" i="1"/>
  <c r="E16" i="1" s="1"/>
  <c r="G4" i="1"/>
  <c r="H6" i="1"/>
  <c r="H8" i="1" l="1"/>
  <c r="H9" i="1"/>
  <c r="F12" i="1"/>
  <c r="F13" i="1"/>
  <c r="F17" i="1" s="1"/>
  <c r="E18" i="1"/>
  <c r="E20" i="1"/>
  <c r="F16" i="1" s="1"/>
  <c r="G5" i="1"/>
  <c r="I6" i="1"/>
  <c r="I8" i="1" l="1"/>
  <c r="I9" i="1"/>
  <c r="G10" i="1" a="1"/>
  <c r="G10" i="1" s="1"/>
  <c r="G11" i="1" s="1"/>
  <c r="G59" i="1"/>
  <c r="G19" i="1"/>
  <c r="G61" i="1"/>
  <c r="F18" i="1"/>
  <c r="F20" i="1"/>
  <c r="G16" i="1" s="1"/>
  <c r="H4" i="1"/>
  <c r="J6" i="1"/>
  <c r="J9" i="1" l="1"/>
  <c r="J8" i="1"/>
  <c r="G12" i="1"/>
  <c r="G13" i="1"/>
  <c r="G17" i="1" s="1"/>
  <c r="G20" i="1" s="1"/>
  <c r="G18" i="1"/>
  <c r="H5" i="1"/>
  <c r="K6" i="1"/>
  <c r="K9" i="1" l="1"/>
  <c r="K8" i="1"/>
  <c r="H10" i="1" a="1"/>
  <c r="H10" i="1" s="1"/>
  <c r="H11" i="1" s="1"/>
  <c r="H59" i="1"/>
  <c r="H19" i="1"/>
  <c r="H61" i="1"/>
  <c r="H16" i="1"/>
  <c r="H18" i="1" s="1"/>
  <c r="I4" i="1"/>
  <c r="L6" i="1"/>
  <c r="L9" i="1" l="1"/>
  <c r="L8" i="1"/>
  <c r="H13" i="1"/>
  <c r="H17" i="1" s="1"/>
  <c r="H20" i="1" s="1"/>
  <c r="H12" i="1"/>
  <c r="I5" i="1"/>
  <c r="M6" i="1"/>
  <c r="M9" i="1" l="1"/>
  <c r="M8" i="1"/>
  <c r="I10" i="1" a="1"/>
  <c r="I10" i="1" s="1"/>
  <c r="I11" i="1" s="1"/>
  <c r="I19" i="1"/>
  <c r="I59" i="1"/>
  <c r="I61" i="1"/>
  <c r="I16" i="1"/>
  <c r="J4" i="1"/>
  <c r="N6" i="1"/>
  <c r="I18" i="1" l="1"/>
  <c r="I13" i="1"/>
  <c r="I17" i="1" s="1"/>
  <c r="I20" i="1" s="1"/>
  <c r="I12" i="1"/>
  <c r="N9" i="1"/>
  <c r="N8" i="1"/>
  <c r="J5" i="1"/>
  <c r="O6" i="1"/>
  <c r="J16" i="1" l="1"/>
  <c r="J18" i="1" s="1"/>
  <c r="J10" i="1" a="1"/>
  <c r="J10" i="1" s="1"/>
  <c r="J11" i="1" s="1"/>
  <c r="J61" i="1"/>
  <c r="J19" i="1"/>
  <c r="J59" i="1"/>
  <c r="O8" i="1"/>
  <c r="O9" i="1"/>
  <c r="K4" i="1"/>
  <c r="P6" i="1"/>
  <c r="J13" i="1" l="1"/>
  <c r="J17" i="1" s="1"/>
  <c r="J20" i="1" s="1"/>
  <c r="J12" i="1"/>
  <c r="P9" i="1"/>
  <c r="P8" i="1"/>
  <c r="K5" i="1"/>
  <c r="Q6" i="1"/>
  <c r="K16" i="1" l="1"/>
  <c r="Q8" i="1"/>
  <c r="Q9" i="1"/>
  <c r="K10" i="1" a="1"/>
  <c r="K10" i="1" s="1"/>
  <c r="K11" i="1" s="1"/>
  <c r="K19" i="1"/>
  <c r="K61" i="1"/>
  <c r="K59" i="1"/>
  <c r="L4" i="1"/>
  <c r="R6" i="1"/>
  <c r="R8" i="1" l="1"/>
  <c r="R9" i="1"/>
  <c r="K18" i="1"/>
  <c r="K12" i="1"/>
  <c r="K13" i="1"/>
  <c r="K17" i="1" s="1"/>
  <c r="K20" i="1" s="1"/>
  <c r="L5" i="1"/>
  <c r="S6" i="1"/>
  <c r="L16" i="1" l="1"/>
  <c r="L18" i="1" s="1"/>
  <c r="S8" i="1"/>
  <c r="S9" i="1"/>
  <c r="L19" i="1"/>
  <c r="L10" i="1" a="1"/>
  <c r="L10" i="1" s="1"/>
  <c r="L11" i="1" s="1"/>
  <c r="L59" i="1"/>
  <c r="L61" i="1"/>
  <c r="M4" i="1"/>
  <c r="T6" i="1"/>
  <c r="T8" i="1" l="1"/>
  <c r="T9" i="1"/>
  <c r="L12" i="1"/>
  <c r="L13" i="1"/>
  <c r="L17" i="1" s="1"/>
  <c r="L20" i="1" s="1"/>
  <c r="M5" i="1"/>
  <c r="U6" i="1"/>
  <c r="U8" i="1" l="1"/>
  <c r="U9" i="1"/>
  <c r="M19" i="1"/>
  <c r="M10" i="1" a="1"/>
  <c r="M10" i="1" s="1"/>
  <c r="M11" i="1" s="1"/>
  <c r="M61" i="1"/>
  <c r="M59" i="1"/>
  <c r="M16" i="1"/>
  <c r="N4" i="1"/>
  <c r="V6" i="1"/>
  <c r="V9" i="1" l="1"/>
  <c r="V8" i="1"/>
  <c r="M18" i="1"/>
  <c r="M13" i="1"/>
  <c r="M17" i="1" s="1"/>
  <c r="M20" i="1" s="1"/>
  <c r="M12" i="1"/>
  <c r="N5" i="1"/>
  <c r="W6" i="1"/>
  <c r="N16" i="1" l="1"/>
  <c r="N18" i="1" s="1"/>
  <c r="N19" i="1"/>
  <c r="N10" i="1" a="1"/>
  <c r="N10" i="1" s="1"/>
  <c r="N11" i="1" s="1"/>
  <c r="N59" i="1"/>
  <c r="N61" i="1"/>
  <c r="W9" i="1"/>
  <c r="W8" i="1"/>
  <c r="O4" i="1"/>
  <c r="X6" i="1"/>
  <c r="X9" i="1" l="1"/>
  <c r="X8" i="1"/>
  <c r="N12" i="1"/>
  <c r="N13" i="1"/>
  <c r="N17" i="1" s="1"/>
  <c r="N20" i="1" s="1"/>
  <c r="O5" i="1"/>
  <c r="Y6" i="1"/>
  <c r="Y9" i="1" l="1"/>
  <c r="Y8" i="1"/>
  <c r="O19" i="1"/>
  <c r="O59" i="1"/>
  <c r="O61" i="1"/>
  <c r="O10" i="1" a="1"/>
  <c r="O10" i="1" s="1"/>
  <c r="O11" i="1" s="1"/>
  <c r="O16" i="1"/>
  <c r="P4" i="1"/>
  <c r="P5" i="1" s="1"/>
  <c r="Z6" i="1"/>
  <c r="P61" i="1" l="1"/>
  <c r="P10" i="1" a="1"/>
  <c r="P10" i="1" s="1"/>
  <c r="P11" i="1" s="1"/>
  <c r="Z9" i="1"/>
  <c r="Z8" i="1"/>
  <c r="O18" i="1"/>
  <c r="O13" i="1"/>
  <c r="O17" i="1" s="1"/>
  <c r="O20" i="1" s="1"/>
  <c r="P16" i="1" s="1"/>
  <c r="P18" i="1" s="1"/>
  <c r="O12" i="1"/>
  <c r="Q4" i="1"/>
  <c r="Q5" i="1" s="1"/>
  <c r="AA6" i="1"/>
  <c r="AA9" i="1" l="1"/>
  <c r="AA8" i="1"/>
  <c r="Q61" i="1"/>
  <c r="Q10" i="1" a="1"/>
  <c r="Q10" i="1" s="1"/>
  <c r="Q11" i="1" s="1"/>
  <c r="P13" i="1"/>
  <c r="P17" i="1" s="1"/>
  <c r="P12" i="1"/>
  <c r="E82" i="1"/>
  <c r="R4" i="1"/>
  <c r="R5" i="1" s="1"/>
  <c r="AB6" i="1"/>
  <c r="R61" i="1" l="1"/>
  <c r="R10" i="1" a="1"/>
  <c r="R10" i="1" s="1"/>
  <c r="R11" i="1" s="1"/>
  <c r="AB9" i="1"/>
  <c r="AB8" i="1"/>
  <c r="Q13" i="1"/>
  <c r="Q17" i="1" s="1"/>
  <c r="Q12" i="1"/>
  <c r="S4" i="1"/>
  <c r="S5" i="1" s="1"/>
  <c r="AC6" i="1"/>
  <c r="AC8" i="1" l="1"/>
  <c r="AC9" i="1"/>
  <c r="S61" i="1"/>
  <c r="S10" i="1" a="1"/>
  <c r="S10" i="1" s="1"/>
  <c r="S11" i="1" s="1"/>
  <c r="R12" i="1"/>
  <c r="R13" i="1"/>
  <c r="R17" i="1" s="1"/>
  <c r="T4" i="1"/>
  <c r="T5" i="1" s="1"/>
  <c r="AD6" i="1"/>
  <c r="AD8" i="1" l="1"/>
  <c r="AD9" i="1"/>
  <c r="T61" i="1"/>
  <c r="T10" i="1" a="1"/>
  <c r="T10" i="1" s="1"/>
  <c r="T11" i="1" s="1"/>
  <c r="S13" i="1"/>
  <c r="S17" i="1" s="1"/>
  <c r="S12" i="1"/>
  <c r="U4" i="1"/>
  <c r="U5" i="1" s="1"/>
  <c r="AE6" i="1"/>
  <c r="AE8" i="1" l="1"/>
  <c r="AE9" i="1"/>
  <c r="U10" i="1" a="1"/>
  <c r="U10" i="1" s="1"/>
  <c r="U11" i="1" s="1"/>
  <c r="U61" i="1"/>
  <c r="T13" i="1"/>
  <c r="T17" i="1" s="1"/>
  <c r="T12" i="1"/>
  <c r="V4" i="1"/>
  <c r="V5" i="1" s="1"/>
  <c r="AF6" i="1"/>
  <c r="AF8" i="1" l="1"/>
  <c r="AF9" i="1"/>
  <c r="V10" i="1" a="1"/>
  <c r="V10" i="1" s="1"/>
  <c r="V11" i="1" s="1"/>
  <c r="V61" i="1"/>
  <c r="U13" i="1"/>
  <c r="U17" i="1" s="1"/>
  <c r="U12" i="1"/>
  <c r="W4" i="1"/>
  <c r="W5" i="1" s="1"/>
  <c r="AG6" i="1"/>
  <c r="AG9" i="1" l="1"/>
  <c r="AG8" i="1"/>
  <c r="W10" i="1" a="1"/>
  <c r="W10" i="1" s="1"/>
  <c r="W11" i="1" s="1"/>
  <c r="W61" i="1"/>
  <c r="V12" i="1"/>
  <c r="V13" i="1"/>
  <c r="V17" i="1" s="1"/>
  <c r="X4" i="1"/>
  <c r="X5" i="1" s="1"/>
  <c r="AH6" i="1"/>
  <c r="AH9" i="1" l="1"/>
  <c r="AH8" i="1"/>
  <c r="X10" i="1" a="1"/>
  <c r="X10" i="1" s="1"/>
  <c r="X11" i="1" s="1"/>
  <c r="X61" i="1"/>
  <c r="W12" i="1"/>
  <c r="W13" i="1"/>
  <c r="W17" i="1" s="1"/>
  <c r="Y4" i="1"/>
  <c r="Y5" i="1" s="1"/>
  <c r="AI6" i="1"/>
  <c r="AI9" i="1" l="1"/>
  <c r="AI8" i="1"/>
  <c r="Y10" i="1" a="1"/>
  <c r="Y10" i="1" s="1"/>
  <c r="Y11" i="1" s="1"/>
  <c r="Y61" i="1"/>
  <c r="X13" i="1"/>
  <c r="X17" i="1" s="1"/>
  <c r="X12" i="1"/>
  <c r="Z4" i="1"/>
  <c r="Z5" i="1" s="1"/>
  <c r="AJ6" i="1"/>
  <c r="AJ9" i="1" l="1"/>
  <c r="AJ8" i="1"/>
  <c r="Z10" i="1" a="1"/>
  <c r="Z10" i="1" s="1"/>
  <c r="Z11" i="1" s="1"/>
  <c r="Z61" i="1"/>
  <c r="Y13" i="1"/>
  <c r="Y17" i="1" s="1"/>
  <c r="Y12" i="1"/>
  <c r="AA4" i="1"/>
  <c r="AA5" i="1" s="1"/>
  <c r="AK6" i="1"/>
  <c r="AK9" i="1" l="1"/>
  <c r="AK8" i="1"/>
  <c r="AA61" i="1"/>
  <c r="AA10" i="1" a="1"/>
  <c r="AA10" i="1" s="1"/>
  <c r="AA11" i="1" s="1"/>
  <c r="Z13" i="1"/>
  <c r="Z17" i="1" s="1"/>
  <c r="Z12" i="1"/>
  <c r="AB4" i="1"/>
  <c r="AB5" i="1" s="1"/>
  <c r="AL6" i="1"/>
  <c r="AA13" i="1" l="1"/>
  <c r="AA17" i="1" s="1"/>
  <c r="AA12" i="1"/>
  <c r="AL9" i="1"/>
  <c r="AL8" i="1"/>
  <c r="AB61" i="1"/>
  <c r="AB10" i="1" a="1"/>
  <c r="AB10" i="1" s="1"/>
  <c r="AB11" i="1" s="1"/>
  <c r="AC4" i="1"/>
  <c r="AC5" i="1" s="1"/>
  <c r="AM6" i="1"/>
  <c r="AM8" i="1" l="1"/>
  <c r="AM9" i="1"/>
  <c r="AC61" i="1"/>
  <c r="AC10" i="1" a="1"/>
  <c r="AC10" i="1" s="1"/>
  <c r="AC11" i="1" s="1"/>
  <c r="AB13" i="1"/>
  <c r="AB17" i="1" s="1"/>
  <c r="AB12" i="1"/>
  <c r="AD4" i="1"/>
  <c r="AD5" i="1" s="1"/>
  <c r="AN6" i="1"/>
  <c r="AN9" i="1" l="1"/>
  <c r="AN8" i="1"/>
  <c r="AD61" i="1"/>
  <c r="AD10" i="1" a="1"/>
  <c r="AD10" i="1" s="1"/>
  <c r="AD11" i="1" s="1"/>
  <c r="AC13" i="1"/>
  <c r="AC17" i="1" s="1"/>
  <c r="AC12" i="1"/>
  <c r="AE4" i="1"/>
  <c r="AE5" i="1" s="1"/>
  <c r="AO6" i="1"/>
  <c r="AE61" i="1" l="1"/>
  <c r="AE10" i="1" a="1"/>
  <c r="AE10" i="1" s="1"/>
  <c r="AE11" i="1" s="1"/>
  <c r="AD12" i="1"/>
  <c r="AD13" i="1"/>
  <c r="AD17" i="1" s="1"/>
  <c r="AO8" i="1"/>
  <c r="AO9" i="1"/>
  <c r="AF4" i="1"/>
  <c r="AF5" i="1" s="1"/>
  <c r="AP6" i="1"/>
  <c r="AP8" i="1" l="1"/>
  <c r="AP9" i="1"/>
  <c r="AF10" i="1" a="1"/>
  <c r="AF10" i="1" s="1"/>
  <c r="AF11" i="1" s="1"/>
  <c r="AF61" i="1"/>
  <c r="AE12" i="1"/>
  <c r="AE13" i="1"/>
  <c r="AE17" i="1" s="1"/>
  <c r="AG4" i="1"/>
  <c r="AG5" i="1" s="1"/>
  <c r="AQ6" i="1"/>
  <c r="AG10" i="1" l="1" a="1"/>
  <c r="AG10" i="1" s="1"/>
  <c r="AG11" i="1" s="1"/>
  <c r="AG61" i="1"/>
  <c r="AQ8" i="1"/>
  <c r="AQ9" i="1"/>
  <c r="AF13" i="1"/>
  <c r="AF17" i="1" s="1"/>
  <c r="AF12" i="1"/>
  <c r="AH4" i="1"/>
  <c r="AH5" i="1" s="1"/>
  <c r="AR6" i="1"/>
  <c r="AG13" i="1" l="1"/>
  <c r="AG17" i="1" s="1"/>
  <c r="AG12" i="1"/>
  <c r="AR8" i="1"/>
  <c r="AR9" i="1"/>
  <c r="AH10" i="1" a="1"/>
  <c r="AH10" i="1" s="1"/>
  <c r="AH11" i="1" s="1"/>
  <c r="AH61" i="1"/>
  <c r="AI4" i="1"/>
  <c r="AI5" i="1" s="1"/>
  <c r="AS6" i="1"/>
  <c r="AS9" i="1" l="1"/>
  <c r="AS8" i="1"/>
  <c r="AI10" i="1" a="1"/>
  <c r="AI10" i="1" s="1"/>
  <c r="AI11" i="1" s="1"/>
  <c r="AI61" i="1"/>
  <c r="AH12" i="1"/>
  <c r="AH13" i="1"/>
  <c r="AH17" i="1" s="1"/>
  <c r="AJ4" i="1"/>
  <c r="AJ5" i="1" s="1"/>
  <c r="AT6" i="1"/>
  <c r="AT9" i="1" l="1"/>
  <c r="AT8" i="1"/>
  <c r="AJ10" i="1" a="1"/>
  <c r="AJ10" i="1" s="1"/>
  <c r="AJ11" i="1" s="1"/>
  <c r="AJ61" i="1"/>
  <c r="AI13" i="1"/>
  <c r="AI17" i="1" s="1"/>
  <c r="AI12" i="1"/>
  <c r="AK4" i="1"/>
  <c r="AK5" i="1" s="1"/>
  <c r="AU6" i="1"/>
  <c r="AU9" i="1" l="1"/>
  <c r="AU8" i="1"/>
  <c r="AK10" i="1" a="1"/>
  <c r="AK10" i="1" s="1"/>
  <c r="AK11" i="1" s="1"/>
  <c r="AK61" i="1"/>
  <c r="AJ13" i="1"/>
  <c r="AJ17" i="1" s="1"/>
  <c r="AJ12" i="1"/>
  <c r="AL4" i="1"/>
  <c r="AL5" i="1" s="1"/>
  <c r="AV6" i="1"/>
  <c r="AK13" i="1" l="1"/>
  <c r="AK17" i="1" s="1"/>
  <c r="AK12" i="1"/>
  <c r="AV9" i="1"/>
  <c r="AV8" i="1"/>
  <c r="AL10" i="1" a="1"/>
  <c r="AL10" i="1" s="1"/>
  <c r="AL11" i="1" s="1"/>
  <c r="AL61" i="1"/>
  <c r="AM4" i="1"/>
  <c r="AM5" i="1" s="1"/>
  <c r="AW6" i="1"/>
  <c r="AL13" i="1" l="1"/>
  <c r="AL17" i="1" s="1"/>
  <c r="AL12" i="1"/>
  <c r="AW9" i="1"/>
  <c r="AW8" i="1"/>
  <c r="AM61" i="1"/>
  <c r="AM10" i="1" a="1"/>
  <c r="AM10" i="1" s="1"/>
  <c r="AM11" i="1" s="1"/>
  <c r="AN4" i="1"/>
  <c r="AN5" i="1" s="1"/>
  <c r="AX6" i="1"/>
  <c r="AM13" i="1" l="1"/>
  <c r="AM17" i="1" s="1"/>
  <c r="AM12" i="1"/>
  <c r="AX9" i="1"/>
  <c r="AX8" i="1"/>
  <c r="AN61" i="1"/>
  <c r="AN10" i="1" a="1"/>
  <c r="AN10" i="1" s="1"/>
  <c r="AN11" i="1" s="1"/>
  <c r="AO4" i="1"/>
  <c r="AO5" i="1" s="1"/>
  <c r="AY6" i="1"/>
  <c r="AY8" i="1" l="1"/>
  <c r="AY9" i="1"/>
  <c r="AO61" i="1"/>
  <c r="AO10" i="1" a="1"/>
  <c r="AO10" i="1" s="1"/>
  <c r="AO11" i="1" s="1"/>
  <c r="AN13" i="1"/>
  <c r="AN17" i="1" s="1"/>
  <c r="AN12" i="1"/>
  <c r="AP4" i="1"/>
  <c r="AP5" i="1" s="1"/>
  <c r="AZ6" i="1"/>
  <c r="AZ9" i="1" l="1"/>
  <c r="AZ8" i="1"/>
  <c r="AP61" i="1"/>
  <c r="AP10" i="1" a="1"/>
  <c r="AP10" i="1" s="1"/>
  <c r="AP11" i="1" s="1"/>
  <c r="AO13" i="1"/>
  <c r="AO17" i="1" s="1"/>
  <c r="AO12" i="1"/>
  <c r="AQ4" i="1"/>
  <c r="AQ5" i="1" s="1"/>
  <c r="BA6" i="1"/>
  <c r="BA8" i="1" l="1"/>
  <c r="BA9" i="1"/>
  <c r="AQ10" i="1" a="1"/>
  <c r="AQ10" i="1" s="1"/>
  <c r="AQ11" i="1" s="1"/>
  <c r="AQ61" i="1"/>
  <c r="AP13" i="1"/>
  <c r="AP17" i="1" s="1"/>
  <c r="AP12" i="1"/>
  <c r="AR4" i="1"/>
  <c r="AR5" i="1" s="1"/>
  <c r="BB6" i="1"/>
  <c r="BB8" i="1" l="1"/>
  <c r="BB9" i="1"/>
  <c r="AQ12" i="1"/>
  <c r="AQ13" i="1"/>
  <c r="AQ17" i="1" s="1"/>
  <c r="AR10" i="1" a="1"/>
  <c r="AR10" i="1" s="1"/>
  <c r="AR11" i="1" s="1"/>
  <c r="AR61" i="1"/>
  <c r="AS4" i="1"/>
  <c r="AS5" i="1" s="1"/>
  <c r="BC6" i="1"/>
  <c r="BC8" i="1" l="1"/>
  <c r="BC9" i="1"/>
  <c r="AS10" i="1" a="1"/>
  <c r="AS10" i="1" s="1"/>
  <c r="AS11" i="1" s="1"/>
  <c r="AS61" i="1"/>
  <c r="AR12" i="1"/>
  <c r="AR13" i="1"/>
  <c r="AR17" i="1" s="1"/>
  <c r="AT4" i="1"/>
  <c r="AT5" i="1" s="1"/>
  <c r="BD6" i="1"/>
  <c r="AS13" i="1" l="1"/>
  <c r="AS17" i="1" s="1"/>
  <c r="AS12" i="1"/>
  <c r="BD8" i="1"/>
  <c r="BD9" i="1"/>
  <c r="AT10" i="1" a="1"/>
  <c r="AT10" i="1" s="1"/>
  <c r="AT11" i="1" s="1"/>
  <c r="AT61" i="1"/>
  <c r="AU4" i="1"/>
  <c r="AU5" i="1" s="1"/>
  <c r="BE6" i="1"/>
  <c r="BE8" i="1" l="1"/>
  <c r="BE9" i="1"/>
  <c r="AU10" i="1" a="1"/>
  <c r="AU10" i="1" s="1"/>
  <c r="AU11" i="1" s="1"/>
  <c r="AU61" i="1"/>
  <c r="AT12" i="1"/>
  <c r="AT13" i="1"/>
  <c r="AT17" i="1" s="1"/>
  <c r="AV4" i="1"/>
  <c r="AV5" i="1" s="1"/>
  <c r="BF6" i="1"/>
  <c r="BF9" i="1" l="1"/>
  <c r="BF8" i="1"/>
  <c r="AV10" i="1" a="1"/>
  <c r="AV10" i="1" s="1"/>
  <c r="AV11" i="1" s="1"/>
  <c r="AV61" i="1"/>
  <c r="AU13" i="1"/>
  <c r="AU17" i="1" s="1"/>
  <c r="AU12" i="1"/>
  <c r="AW4" i="1"/>
  <c r="AW5" i="1" s="1"/>
  <c r="BG6" i="1"/>
  <c r="BG9" i="1" l="1"/>
  <c r="BG8" i="1"/>
  <c r="AW10" i="1" a="1"/>
  <c r="AW10" i="1" s="1"/>
  <c r="AW11" i="1" s="1"/>
  <c r="AW61" i="1"/>
  <c r="AV12" i="1"/>
  <c r="AV13" i="1"/>
  <c r="AV17" i="1" s="1"/>
  <c r="AX4" i="1"/>
  <c r="AX5" i="1" s="1"/>
  <c r="BH6" i="1"/>
  <c r="AW13" i="1" l="1"/>
  <c r="AW17" i="1" s="1"/>
  <c r="AW12" i="1"/>
  <c r="BH9" i="1"/>
  <c r="BH8" i="1"/>
  <c r="AX10" i="1" a="1"/>
  <c r="AX10" i="1" s="1"/>
  <c r="AX11" i="1" s="1"/>
  <c r="AX61" i="1"/>
  <c r="AY4" i="1"/>
  <c r="AY5" i="1" s="1"/>
  <c r="BI6" i="1"/>
  <c r="BI9" i="1" l="1"/>
  <c r="BI8" i="1"/>
  <c r="AY61" i="1"/>
  <c r="AY10" i="1" a="1"/>
  <c r="AY10" i="1" s="1"/>
  <c r="AY11" i="1" s="1"/>
  <c r="AX13" i="1"/>
  <c r="AX17" i="1" s="1"/>
  <c r="AX12" i="1"/>
  <c r="AZ4" i="1"/>
  <c r="BJ6" i="1"/>
  <c r="BJ9" i="1" l="1"/>
  <c r="BJ8" i="1"/>
  <c r="AY13" i="1"/>
  <c r="AY17" i="1" s="1"/>
  <c r="AY12" i="1"/>
  <c r="AZ5" i="1"/>
  <c r="BK6" i="1"/>
  <c r="BK9" i="1" l="1"/>
  <c r="BK8" i="1"/>
  <c r="AZ59" i="1"/>
  <c r="AZ61" i="1"/>
  <c r="AZ10" i="1" a="1"/>
  <c r="AZ10" i="1" s="1"/>
  <c r="AZ11" i="1" s="1"/>
  <c r="BA4" i="1"/>
  <c r="BL6" i="1"/>
  <c r="BL8" i="1" l="1"/>
  <c r="BL9" i="1"/>
  <c r="AZ12" i="1"/>
  <c r="AZ13" i="1"/>
  <c r="AZ17" i="1" s="1"/>
  <c r="BA5" i="1"/>
  <c r="BM6" i="1"/>
  <c r="BM8" i="1" l="1"/>
  <c r="BM9" i="1"/>
  <c r="BA59" i="1"/>
  <c r="BA61" i="1"/>
  <c r="BA10" i="1" a="1"/>
  <c r="BA10" i="1" s="1"/>
  <c r="BA11" i="1" s="1"/>
  <c r="BB4" i="1"/>
  <c r="BN6" i="1"/>
  <c r="BN8" i="1" l="1"/>
  <c r="BN9" i="1"/>
  <c r="BA12" i="1"/>
  <c r="BA13" i="1"/>
  <c r="BA17" i="1" s="1"/>
  <c r="BB5" i="1"/>
  <c r="BO6" i="1"/>
  <c r="BO8" i="1" l="1"/>
  <c r="BO9" i="1"/>
  <c r="BB10" i="1" a="1"/>
  <c r="BB10" i="1" s="1"/>
  <c r="BB11" i="1" s="1"/>
  <c r="BB61" i="1"/>
  <c r="BB59" i="1"/>
  <c r="BC4" i="1"/>
  <c r="BP6" i="1"/>
  <c r="BP8" i="1" l="1"/>
  <c r="BP9" i="1"/>
  <c r="BB12" i="1"/>
  <c r="BB13" i="1"/>
  <c r="BB17" i="1" s="1"/>
  <c r="BC5" i="1"/>
  <c r="BQ6" i="1"/>
  <c r="BQ9" i="1" l="1"/>
  <c r="BQ8" i="1"/>
  <c r="BC10" i="1" a="1"/>
  <c r="BC10" i="1" s="1"/>
  <c r="BC11" i="1" s="1"/>
  <c r="BC61" i="1"/>
  <c r="BC59" i="1"/>
  <c r="BD4" i="1"/>
  <c r="BR6" i="1"/>
  <c r="BR9" i="1" l="1"/>
  <c r="BR8" i="1"/>
  <c r="BC13" i="1"/>
  <c r="BC17" i="1" s="1"/>
  <c r="BC12" i="1"/>
  <c r="BD5" i="1"/>
  <c r="BS6" i="1"/>
  <c r="BS9" i="1" l="1"/>
  <c r="BS8" i="1"/>
  <c r="BD10" i="1" a="1"/>
  <c r="BD10" i="1" s="1"/>
  <c r="BD11" i="1" s="1"/>
  <c r="BD59" i="1"/>
  <c r="BD61" i="1"/>
  <c r="BE4" i="1"/>
  <c r="BT6" i="1"/>
  <c r="BT9" i="1" l="1"/>
  <c r="BT8" i="1"/>
  <c r="BD13" i="1"/>
  <c r="BD17" i="1" s="1"/>
  <c r="BD12" i="1"/>
  <c r="BE5" i="1"/>
  <c r="BU6" i="1"/>
  <c r="BU9" i="1" l="1"/>
  <c r="BU8" i="1"/>
  <c r="BE10" i="1" a="1"/>
  <c r="BE10" i="1" s="1"/>
  <c r="BE11" i="1" s="1"/>
  <c r="BE59" i="1"/>
  <c r="BE61" i="1"/>
  <c r="BF4" i="1"/>
  <c r="BV6" i="1"/>
  <c r="BV9" i="1" l="1"/>
  <c r="BV8" i="1"/>
  <c r="BE13" i="1"/>
  <c r="BE17" i="1" s="1"/>
  <c r="BE12" i="1"/>
  <c r="BF5" i="1"/>
  <c r="BW6" i="1"/>
  <c r="BW8" i="1" l="1"/>
  <c r="BW9" i="1"/>
  <c r="BF10" i="1" a="1"/>
  <c r="BF10" i="1" s="1"/>
  <c r="BF11" i="1" s="1"/>
  <c r="BF59" i="1"/>
  <c r="BF61" i="1"/>
  <c r="BG4" i="1"/>
  <c r="BX6" i="1"/>
  <c r="BX8" i="1" l="1"/>
  <c r="BX9" i="1"/>
  <c r="BF13" i="1"/>
  <c r="BF17" i="1" s="1"/>
  <c r="BF12" i="1"/>
  <c r="BG5" i="1"/>
  <c r="BY6" i="1"/>
  <c r="BG10" i="1" l="1" a="1"/>
  <c r="BG10" i="1" s="1"/>
  <c r="BG11" i="1" s="1"/>
  <c r="BG59" i="1"/>
  <c r="BG61" i="1"/>
  <c r="BY8" i="1"/>
  <c r="BY9" i="1"/>
  <c r="BH4" i="1"/>
  <c r="BZ6" i="1"/>
  <c r="BZ8" i="1" l="1"/>
  <c r="BZ9" i="1"/>
  <c r="BG13" i="1"/>
  <c r="BG17" i="1" s="1"/>
  <c r="BG12" i="1"/>
  <c r="BH5" i="1"/>
  <c r="CA6" i="1"/>
  <c r="CA8" i="1" l="1"/>
  <c r="CA9" i="1"/>
  <c r="BH10" i="1" a="1"/>
  <c r="BH10" i="1" s="1"/>
  <c r="BH11" i="1" s="1"/>
  <c r="BH59" i="1"/>
  <c r="BH61" i="1"/>
  <c r="BI4" i="1"/>
  <c r="CB6" i="1"/>
  <c r="CB8" i="1" l="1"/>
  <c r="CB9" i="1"/>
  <c r="BH12" i="1"/>
  <c r="BH13" i="1"/>
  <c r="BH17" i="1" s="1"/>
  <c r="BI5" i="1"/>
  <c r="CC6" i="1"/>
  <c r="CC9" i="1" l="1"/>
  <c r="CC8" i="1"/>
  <c r="BI10" i="1" a="1"/>
  <c r="BI10" i="1" s="1"/>
  <c r="BI11" i="1" s="1"/>
  <c r="BI59" i="1"/>
  <c r="BI61" i="1"/>
  <c r="BJ4" i="1"/>
  <c r="CD6" i="1"/>
  <c r="CD9" i="1" l="1"/>
  <c r="CD8" i="1"/>
  <c r="BI13" i="1"/>
  <c r="BI17" i="1" s="1"/>
  <c r="BI12" i="1"/>
  <c r="BJ5" i="1"/>
  <c r="CE6" i="1"/>
  <c r="CE9" i="1" l="1"/>
  <c r="CE8" i="1"/>
  <c r="BJ10" i="1" a="1"/>
  <c r="BJ10" i="1" s="1"/>
  <c r="BJ11" i="1" s="1"/>
  <c r="BJ59" i="1"/>
  <c r="BJ61" i="1"/>
  <c r="BK4" i="1"/>
  <c r="CF6" i="1"/>
  <c r="CF9" i="1" l="1"/>
  <c r="CF8" i="1"/>
  <c r="BJ12" i="1"/>
  <c r="BJ13" i="1"/>
  <c r="BJ17" i="1" s="1"/>
  <c r="BK5" i="1"/>
  <c r="CG6" i="1"/>
  <c r="CG9" i="1" l="1"/>
  <c r="CG8" i="1"/>
  <c r="BK59" i="1"/>
  <c r="BK61" i="1"/>
  <c r="BK10" i="1" a="1"/>
  <c r="BK10" i="1" s="1"/>
  <c r="BK11" i="1" s="1"/>
  <c r="BL4" i="1"/>
  <c r="CH6" i="1"/>
  <c r="CH9" i="1" l="1"/>
  <c r="CH8" i="1"/>
  <c r="BK13" i="1"/>
  <c r="BK17" i="1" s="1"/>
  <c r="BK12" i="1"/>
  <c r="BL5" i="1"/>
  <c r="CI6" i="1"/>
  <c r="CI8" i="1" l="1"/>
  <c r="CI9" i="1"/>
  <c r="BL59" i="1"/>
  <c r="BL61" i="1"/>
  <c r="BL10" i="1" a="1"/>
  <c r="BL10" i="1" s="1"/>
  <c r="BL11" i="1" s="1"/>
  <c r="BM4" i="1"/>
  <c r="CJ6" i="1"/>
  <c r="CJ8" i="1" l="1"/>
  <c r="CJ9" i="1"/>
  <c r="BL13" i="1"/>
  <c r="BL17" i="1" s="1"/>
  <c r="BL12" i="1"/>
  <c r="BM5" i="1"/>
  <c r="CK6" i="1"/>
  <c r="CK8" i="1" l="1"/>
  <c r="CK9" i="1"/>
  <c r="BM59" i="1"/>
  <c r="BM61" i="1"/>
  <c r="BM10" i="1" a="1"/>
  <c r="BM10" i="1" s="1"/>
  <c r="BM11" i="1" s="1"/>
  <c r="BN4" i="1"/>
  <c r="CL6" i="1"/>
  <c r="CL8" i="1" l="1"/>
  <c r="CL9" i="1"/>
  <c r="BM13" i="1"/>
  <c r="BM17" i="1" s="1"/>
  <c r="BM12" i="1"/>
  <c r="BN5" i="1"/>
  <c r="CM6" i="1"/>
  <c r="CM8" i="1" l="1"/>
  <c r="CM9" i="1"/>
  <c r="BN61" i="1"/>
  <c r="BN59" i="1"/>
  <c r="BN10" i="1" a="1"/>
  <c r="BN10" i="1" s="1"/>
  <c r="BN11" i="1" s="1"/>
  <c r="BO4" i="1"/>
  <c r="CN6" i="1"/>
  <c r="CN8" i="1" l="1"/>
  <c r="CN9" i="1"/>
  <c r="BN12" i="1"/>
  <c r="BN13" i="1"/>
  <c r="BN17" i="1" s="1"/>
  <c r="BO5" i="1"/>
  <c r="CO6" i="1"/>
  <c r="CO8" i="1" l="1"/>
  <c r="CO9" i="1"/>
  <c r="BO61" i="1"/>
  <c r="BO59" i="1"/>
  <c r="BO10" i="1" a="1"/>
  <c r="BO10" i="1" s="1"/>
  <c r="BO11" i="1" s="1"/>
  <c r="BP4" i="1"/>
  <c r="CP6" i="1"/>
  <c r="CP9" i="1" l="1"/>
  <c r="CP8" i="1"/>
  <c r="BO13" i="1"/>
  <c r="BO17" i="1" s="1"/>
  <c r="BO12" i="1"/>
  <c r="BP5" i="1"/>
  <c r="CQ6" i="1"/>
  <c r="CQ9" i="1" l="1"/>
  <c r="CQ8" i="1"/>
  <c r="BP61" i="1"/>
  <c r="BP10" i="1" a="1"/>
  <c r="BP10" i="1" s="1"/>
  <c r="BP11" i="1" s="1"/>
  <c r="BP59" i="1"/>
  <c r="BQ4" i="1"/>
  <c r="CR6" i="1"/>
  <c r="CR9" i="1" l="1"/>
  <c r="CR8" i="1"/>
  <c r="BP12" i="1"/>
  <c r="BP13" i="1"/>
  <c r="BP17" i="1" s="1"/>
  <c r="BQ5" i="1"/>
  <c r="CS6" i="1"/>
  <c r="CS9" i="1" l="1"/>
  <c r="CS8" i="1"/>
  <c r="BQ10" i="1" a="1"/>
  <c r="BQ10" i="1" s="1"/>
  <c r="BQ11" i="1" s="1"/>
  <c r="BQ61" i="1"/>
  <c r="BQ59" i="1"/>
  <c r="BR4" i="1"/>
  <c r="CT6" i="1"/>
  <c r="CT9" i="1" l="1"/>
  <c r="CT8" i="1"/>
  <c r="BQ12" i="1"/>
  <c r="BQ13" i="1"/>
  <c r="BQ17" i="1" s="1"/>
  <c r="BR5" i="1"/>
  <c r="CU6" i="1"/>
  <c r="CU9" i="1" l="1"/>
  <c r="CU8" i="1"/>
  <c r="BR10" i="1" a="1"/>
  <c r="BR10" i="1" s="1"/>
  <c r="BR11" i="1" s="1"/>
  <c r="BR61" i="1"/>
  <c r="BR59" i="1"/>
  <c r="BS4" i="1"/>
  <c r="CV6" i="1"/>
  <c r="BR13" i="1" l="1"/>
  <c r="BR17" i="1" s="1"/>
  <c r="BR12" i="1"/>
  <c r="CV9" i="1"/>
  <c r="CV8" i="1"/>
  <c r="BS5" i="1"/>
  <c r="CW6" i="1"/>
  <c r="BS10" i="1" l="1" a="1"/>
  <c r="BS10" i="1" s="1"/>
  <c r="BS11" i="1" s="1"/>
  <c r="BS61" i="1"/>
  <c r="BS59" i="1"/>
  <c r="CW8" i="1"/>
  <c r="CW9" i="1"/>
  <c r="BT4" i="1"/>
  <c r="CX6" i="1"/>
  <c r="CX8" i="1" l="1"/>
  <c r="CX9" i="1"/>
  <c r="BS12" i="1"/>
  <c r="BS13" i="1"/>
  <c r="BS17" i="1" s="1"/>
  <c r="BT5" i="1"/>
  <c r="CY6" i="1"/>
  <c r="CY8" i="1" l="1"/>
  <c r="CY9" i="1"/>
  <c r="BT10" i="1" a="1"/>
  <c r="BT10" i="1" s="1"/>
  <c r="BT11" i="1" s="1"/>
  <c r="BT61" i="1"/>
  <c r="BT59" i="1"/>
  <c r="BU4" i="1"/>
  <c r="CZ6" i="1"/>
  <c r="CZ8" i="1" l="1"/>
  <c r="CZ9" i="1"/>
  <c r="BT12" i="1"/>
  <c r="BT13" i="1"/>
  <c r="BT17" i="1" s="1"/>
  <c r="BU5" i="1"/>
  <c r="DA6" i="1"/>
  <c r="DA9" i="1" l="1"/>
  <c r="DA8" i="1"/>
  <c r="BU10" i="1" a="1"/>
  <c r="BU10" i="1" s="1"/>
  <c r="BU11" i="1" s="1"/>
  <c r="BU59" i="1"/>
  <c r="BU61" i="1"/>
  <c r="BV4" i="1"/>
  <c r="DB6" i="1"/>
  <c r="DB9" i="1" l="1"/>
  <c r="DB8" i="1"/>
  <c r="BU12" i="1"/>
  <c r="BU13" i="1"/>
  <c r="BU17" i="1" s="1"/>
  <c r="BV5" i="1"/>
  <c r="DC6" i="1"/>
  <c r="DC9" i="1" l="1"/>
  <c r="DC8" i="1"/>
  <c r="BV10" i="1" a="1"/>
  <c r="BV10" i="1" s="1"/>
  <c r="BV11" i="1" s="1"/>
  <c r="BV59" i="1"/>
  <c r="BV61" i="1"/>
  <c r="BW4" i="1"/>
  <c r="DD6" i="1"/>
  <c r="DD9" i="1" l="1"/>
  <c r="DD8" i="1"/>
  <c r="BV13" i="1"/>
  <c r="BV17" i="1" s="1"/>
  <c r="BV12" i="1"/>
  <c r="BW5" i="1"/>
  <c r="DE6" i="1"/>
  <c r="BW61" i="1" l="1"/>
  <c r="BW59" i="1"/>
  <c r="BW10" i="1" a="1"/>
  <c r="BW10" i="1" s="1"/>
  <c r="BW11" i="1" s="1"/>
  <c r="DE9" i="1"/>
  <c r="DE8" i="1"/>
  <c r="BX4" i="1"/>
  <c r="DF6" i="1"/>
  <c r="DF9" i="1" l="1"/>
  <c r="DF8" i="1"/>
  <c r="BW13" i="1"/>
  <c r="BW17" i="1" s="1"/>
  <c r="BW12" i="1"/>
  <c r="BX5" i="1"/>
  <c r="DG6" i="1"/>
  <c r="DG8" i="1" l="1"/>
  <c r="DG9" i="1"/>
  <c r="BX59" i="1"/>
  <c r="BX61" i="1"/>
  <c r="BX10" i="1" a="1"/>
  <c r="BX10" i="1" s="1"/>
  <c r="BX11" i="1" s="1"/>
  <c r="BY4" i="1"/>
  <c r="DH6" i="1"/>
  <c r="DH8" i="1" l="1"/>
  <c r="DH9" i="1"/>
  <c r="BX13" i="1"/>
  <c r="BX17" i="1" s="1"/>
  <c r="BX12" i="1"/>
  <c r="BY5" i="1"/>
  <c r="DI6" i="1"/>
  <c r="DI8" i="1" l="1"/>
  <c r="DI9" i="1"/>
  <c r="BY59" i="1"/>
  <c r="BY61" i="1"/>
  <c r="BY10" i="1" a="1"/>
  <c r="BY10" i="1" s="1"/>
  <c r="BY11" i="1" s="1"/>
  <c r="BZ4" i="1"/>
  <c r="DJ6" i="1"/>
  <c r="DJ8" i="1" l="1"/>
  <c r="DJ9" i="1"/>
  <c r="BY13" i="1"/>
  <c r="BY17" i="1" s="1"/>
  <c r="BY12" i="1"/>
  <c r="BZ5" i="1"/>
  <c r="DK6" i="1"/>
  <c r="DK8" i="1" l="1"/>
  <c r="DK9" i="1"/>
  <c r="BZ59" i="1"/>
  <c r="BZ10" i="1" a="1"/>
  <c r="BZ10" i="1" s="1"/>
  <c r="BZ11" i="1" s="1"/>
  <c r="BZ61" i="1"/>
  <c r="CA4" i="1"/>
  <c r="DL6" i="1"/>
  <c r="DL8" i="1" l="1"/>
  <c r="DL9" i="1"/>
  <c r="BZ12" i="1"/>
  <c r="BZ13" i="1"/>
  <c r="BZ17" i="1" s="1"/>
  <c r="CA5" i="1"/>
  <c r="DM6" i="1"/>
  <c r="DM9" i="1" l="1"/>
  <c r="DM8" i="1"/>
  <c r="CA10" i="1" a="1"/>
  <c r="CA10" i="1" s="1"/>
  <c r="CA11" i="1" s="1"/>
  <c r="CA59" i="1"/>
  <c r="CA61" i="1"/>
  <c r="CB4" i="1"/>
  <c r="DN6" i="1"/>
  <c r="DN9" i="1" l="1"/>
  <c r="DN8" i="1"/>
  <c r="CA13" i="1"/>
  <c r="CA17" i="1" s="1"/>
  <c r="CA12" i="1"/>
  <c r="CB5" i="1"/>
  <c r="DO6" i="1"/>
  <c r="DO9" i="1" l="1"/>
  <c r="DO8" i="1"/>
  <c r="CB10" i="1" a="1"/>
  <c r="CB10" i="1" s="1"/>
  <c r="CB11" i="1" s="1"/>
  <c r="CB59" i="1"/>
  <c r="CB61" i="1"/>
  <c r="CC4" i="1"/>
  <c r="DP6" i="1"/>
  <c r="DP9" i="1" l="1"/>
  <c r="DP8" i="1"/>
  <c r="CB12" i="1"/>
  <c r="CB13" i="1"/>
  <c r="CB17" i="1" s="1"/>
  <c r="CC5" i="1"/>
  <c r="DQ6" i="1"/>
  <c r="DQ9" i="1" l="1"/>
  <c r="DQ8" i="1"/>
  <c r="CC10" i="1" a="1"/>
  <c r="CC10" i="1" s="1"/>
  <c r="CC11" i="1" s="1"/>
  <c r="CC59" i="1"/>
  <c r="CC61" i="1"/>
  <c r="CD4" i="1"/>
  <c r="DR6" i="1"/>
  <c r="DR9" i="1" l="1"/>
  <c r="DR8" i="1"/>
  <c r="CC12" i="1"/>
  <c r="CC13" i="1"/>
  <c r="CC17" i="1" s="1"/>
  <c r="CD5" i="1"/>
  <c r="DS6" i="1"/>
  <c r="DS8" i="1" l="1"/>
  <c r="DS9" i="1"/>
  <c r="CD10" i="1" a="1"/>
  <c r="CD10" i="1" s="1"/>
  <c r="CD11" i="1" s="1"/>
  <c r="CD61" i="1"/>
  <c r="CD59" i="1"/>
  <c r="CE4" i="1"/>
  <c r="O70" i="1"/>
  <c r="CD13" i="1" l="1"/>
  <c r="CD17" i="1" s="1"/>
  <c r="CD12" i="1"/>
  <c r="CE5" i="1"/>
  <c r="CE10" i="1" l="1" a="1"/>
  <c r="CE10" i="1" s="1"/>
  <c r="CE11" i="1" s="1"/>
  <c r="CE61" i="1"/>
  <c r="CE59" i="1"/>
  <c r="CF4" i="1"/>
  <c r="CE12" i="1" l="1"/>
  <c r="CE13" i="1"/>
  <c r="CE17" i="1" s="1"/>
  <c r="CF5" i="1"/>
  <c r="CF10" i="1" l="1" a="1"/>
  <c r="CF10" i="1" s="1"/>
  <c r="CF11" i="1" s="1"/>
  <c r="CF61" i="1"/>
  <c r="CF59" i="1"/>
  <c r="CG4" i="1"/>
  <c r="CF12" i="1" l="1"/>
  <c r="CF13" i="1"/>
  <c r="CF17" i="1" s="1"/>
  <c r="CG5" i="1"/>
  <c r="CG10" i="1" l="1" a="1"/>
  <c r="CG10" i="1" s="1"/>
  <c r="CG11" i="1" s="1"/>
  <c r="CG61" i="1"/>
  <c r="CG59" i="1"/>
  <c r="CH4" i="1"/>
  <c r="CG13" i="1" l="1"/>
  <c r="CG17" i="1" s="1"/>
  <c r="CG12" i="1"/>
  <c r="CH5" i="1"/>
  <c r="CH10" i="1" l="1" a="1"/>
  <c r="CH10" i="1" s="1"/>
  <c r="CH11" i="1" s="1"/>
  <c r="CH59" i="1"/>
  <c r="CH61" i="1"/>
  <c r="CI4" i="1"/>
  <c r="CH13" i="1" l="1"/>
  <c r="CH17" i="1" s="1"/>
  <c r="CH12" i="1"/>
  <c r="CI5" i="1"/>
  <c r="CI59" i="1" l="1"/>
  <c r="CI61" i="1"/>
  <c r="CI10" i="1" a="1"/>
  <c r="CI10" i="1" s="1"/>
  <c r="CI11" i="1" s="1"/>
  <c r="CJ4" i="1"/>
  <c r="CI12" i="1" l="1"/>
  <c r="CI13" i="1"/>
  <c r="CI17" i="1" s="1"/>
  <c r="CJ5" i="1"/>
  <c r="CJ59" i="1" l="1"/>
  <c r="CJ61" i="1"/>
  <c r="CJ10" i="1" a="1"/>
  <c r="CJ10" i="1" s="1"/>
  <c r="CJ11" i="1" s="1"/>
  <c r="CK4" i="1"/>
  <c r="CJ13" i="1" l="1"/>
  <c r="CJ17" i="1" s="1"/>
  <c r="CJ12" i="1"/>
  <c r="CK5" i="1"/>
  <c r="CK59" i="1" l="1"/>
  <c r="CK61" i="1"/>
  <c r="CK10" i="1" a="1"/>
  <c r="CK10" i="1" s="1"/>
  <c r="CK11" i="1" s="1"/>
  <c r="CL4" i="1"/>
  <c r="CK12" i="1" l="1"/>
  <c r="CK13" i="1"/>
  <c r="CK17" i="1" s="1"/>
  <c r="CL5" i="1"/>
  <c r="CL61" i="1" l="1"/>
  <c r="CL59" i="1"/>
  <c r="CL10" i="1" a="1"/>
  <c r="CL10" i="1" s="1"/>
  <c r="CL11" i="1" s="1"/>
  <c r="CM4" i="1"/>
  <c r="CL13" i="1" l="1"/>
  <c r="CL17" i="1" s="1"/>
  <c r="CL12" i="1"/>
  <c r="CM5" i="1"/>
  <c r="CM61" i="1" l="1"/>
  <c r="CM10" i="1" a="1"/>
  <c r="CM10" i="1" s="1"/>
  <c r="CM11" i="1" s="1"/>
  <c r="CM59" i="1"/>
  <c r="CN4" i="1"/>
  <c r="CM13" i="1" l="1"/>
  <c r="CM17" i="1" s="1"/>
  <c r="CM12" i="1"/>
  <c r="CN5" i="1"/>
  <c r="CN61" i="1" l="1"/>
  <c r="CN59" i="1"/>
  <c r="CN10" i="1" a="1"/>
  <c r="CN10" i="1" s="1"/>
  <c r="CN11" i="1" s="1"/>
  <c r="CO4" i="1"/>
  <c r="CN13" i="1" l="1"/>
  <c r="CN17" i="1" s="1"/>
  <c r="CN12" i="1"/>
  <c r="CO5" i="1"/>
  <c r="CO10" i="1" l="1" a="1"/>
  <c r="CO10" i="1" s="1"/>
  <c r="CO11" i="1" s="1"/>
  <c r="CO59" i="1"/>
  <c r="CO61" i="1"/>
  <c r="CP4" i="1"/>
  <c r="CO12" i="1" l="1"/>
  <c r="CO13" i="1"/>
  <c r="CO17" i="1" s="1"/>
  <c r="CP5" i="1"/>
  <c r="CP10" i="1" l="1" a="1"/>
  <c r="CP10" i="1" s="1"/>
  <c r="CP11" i="1" s="1"/>
  <c r="CP59" i="1"/>
  <c r="CP61" i="1"/>
  <c r="CQ4" i="1"/>
  <c r="CP12" i="1" l="1"/>
  <c r="CP13" i="1"/>
  <c r="CP17" i="1" s="1"/>
  <c r="CQ5" i="1"/>
  <c r="CQ10" i="1" l="1" a="1"/>
  <c r="CQ10" i="1" s="1"/>
  <c r="CQ11" i="1" s="1"/>
  <c r="CQ59" i="1"/>
  <c r="CQ61" i="1"/>
  <c r="CR4" i="1"/>
  <c r="CQ13" i="1" l="1"/>
  <c r="CQ17" i="1" s="1"/>
  <c r="CQ12" i="1"/>
  <c r="CR5" i="1"/>
  <c r="CR10" i="1" l="1" a="1"/>
  <c r="CR10" i="1" s="1"/>
  <c r="CR11" i="1" s="1"/>
  <c r="CR59" i="1"/>
  <c r="CR61" i="1"/>
  <c r="CS4" i="1"/>
  <c r="CR12" i="1" l="1"/>
  <c r="CR13" i="1"/>
  <c r="CR17" i="1" s="1"/>
  <c r="CS5" i="1"/>
  <c r="CS10" i="1" l="1" a="1"/>
  <c r="CS10" i="1" s="1"/>
  <c r="CS11" i="1" s="1"/>
  <c r="CS59" i="1"/>
  <c r="CS61" i="1"/>
  <c r="CT4" i="1"/>
  <c r="CS13" i="1" l="1"/>
  <c r="CS17" i="1" s="1"/>
  <c r="CS12" i="1"/>
  <c r="CT5" i="1"/>
  <c r="CT10" i="1" l="1" a="1"/>
  <c r="CT10" i="1" s="1"/>
  <c r="CT11" i="1" s="1"/>
  <c r="CT59" i="1"/>
  <c r="CT61" i="1"/>
  <c r="CU4" i="1"/>
  <c r="CT12" i="1" l="1"/>
  <c r="CT13" i="1"/>
  <c r="CT17" i="1" s="1"/>
  <c r="CU5" i="1"/>
  <c r="CU61" i="1" l="1"/>
  <c r="CU59" i="1"/>
  <c r="CU10" i="1" a="1"/>
  <c r="CU10" i="1" s="1"/>
  <c r="CU11" i="1" s="1"/>
  <c r="CV4" i="1"/>
  <c r="CU13" i="1" l="1"/>
  <c r="CU17" i="1" s="1"/>
  <c r="CU12" i="1"/>
  <c r="CV5" i="1"/>
  <c r="CV59" i="1" l="1"/>
  <c r="CV61" i="1"/>
  <c r="CV10" i="1" a="1"/>
  <c r="CV10" i="1" s="1"/>
  <c r="CV11" i="1" s="1"/>
  <c r="CW4" i="1"/>
  <c r="CV12" i="1" l="1"/>
  <c r="CV13" i="1"/>
  <c r="CV17" i="1" s="1"/>
  <c r="CW5" i="1"/>
  <c r="CW59" i="1" l="1"/>
  <c r="CW61" i="1"/>
  <c r="CW10" i="1" a="1"/>
  <c r="CW10" i="1" s="1"/>
  <c r="CW11" i="1" s="1"/>
  <c r="CX4" i="1"/>
  <c r="CW13" i="1" l="1"/>
  <c r="CW17" i="1" s="1"/>
  <c r="CW12" i="1"/>
  <c r="CX5" i="1"/>
  <c r="CX61" i="1" l="1"/>
  <c r="CX59" i="1"/>
  <c r="CX10" i="1" a="1"/>
  <c r="CX10" i="1" s="1"/>
  <c r="CX11" i="1" s="1"/>
  <c r="CY4" i="1"/>
  <c r="CX12" i="1" l="1"/>
  <c r="CX13" i="1"/>
  <c r="CX17" i="1" s="1"/>
  <c r="CY5" i="1"/>
  <c r="CY61" i="1" l="1"/>
  <c r="CY59" i="1"/>
  <c r="CY10" i="1" a="1"/>
  <c r="CY10" i="1" s="1"/>
  <c r="CY11" i="1" s="1"/>
  <c r="CZ4" i="1"/>
  <c r="CY13" i="1" l="1"/>
  <c r="CY17" i="1" s="1"/>
  <c r="CY12" i="1"/>
  <c r="CZ5" i="1"/>
  <c r="CZ10" i="1" l="1" a="1"/>
  <c r="CZ10" i="1" s="1"/>
  <c r="CZ11" i="1" s="1"/>
  <c r="CZ61" i="1"/>
  <c r="CZ59" i="1"/>
  <c r="DA4" i="1"/>
  <c r="CZ12" i="1" l="1"/>
  <c r="CZ13" i="1"/>
  <c r="CZ17" i="1" s="1"/>
  <c r="DA5" i="1"/>
  <c r="DA10" i="1" l="1" a="1"/>
  <c r="DA10" i="1" s="1"/>
  <c r="DA11" i="1" s="1"/>
  <c r="DA61" i="1"/>
  <c r="DA59" i="1"/>
  <c r="DB4" i="1"/>
  <c r="DA13" i="1" l="1"/>
  <c r="DA17" i="1" s="1"/>
  <c r="DA12" i="1"/>
  <c r="DB5" i="1"/>
  <c r="DB10" i="1" l="1" a="1"/>
  <c r="DB10" i="1" s="1"/>
  <c r="DB11" i="1" s="1"/>
  <c r="DB61" i="1"/>
  <c r="DB59" i="1"/>
  <c r="DC4" i="1"/>
  <c r="DB12" i="1" l="1"/>
  <c r="DB13" i="1"/>
  <c r="DB17" i="1" s="1"/>
  <c r="DC5" i="1"/>
  <c r="DC10" i="1" l="1" a="1"/>
  <c r="DC10" i="1" s="1"/>
  <c r="DC11" i="1" s="1"/>
  <c r="DC61" i="1"/>
  <c r="DC59" i="1"/>
  <c r="DD4" i="1"/>
  <c r="DC13" i="1" l="1"/>
  <c r="DC17" i="1" s="1"/>
  <c r="DC12" i="1"/>
  <c r="DD5" i="1"/>
  <c r="DD10" i="1" l="1" a="1"/>
  <c r="DD10" i="1" s="1"/>
  <c r="DD11" i="1" s="1"/>
  <c r="DD59" i="1"/>
  <c r="DD61" i="1"/>
  <c r="DE4" i="1"/>
  <c r="DD12" i="1" l="1"/>
  <c r="DD13" i="1"/>
  <c r="DD17" i="1" s="1"/>
  <c r="DE5" i="1"/>
  <c r="DE10" i="1" l="1" a="1"/>
  <c r="DE10" i="1" s="1"/>
  <c r="DE11" i="1" s="1"/>
  <c r="DE59" i="1"/>
  <c r="DE61" i="1"/>
  <c r="DF4" i="1"/>
  <c r="DE13" i="1" l="1"/>
  <c r="DE17" i="1" s="1"/>
  <c r="DE12" i="1"/>
  <c r="DF5" i="1"/>
  <c r="DF10" i="1" l="1" a="1"/>
  <c r="DF10" i="1" s="1"/>
  <c r="DF11" i="1" s="1"/>
  <c r="DF59" i="1"/>
  <c r="DF61" i="1"/>
  <c r="DG4" i="1"/>
  <c r="DF13" i="1" l="1"/>
  <c r="DF17" i="1" s="1"/>
  <c r="DF12" i="1"/>
  <c r="DG5" i="1"/>
  <c r="DG61" i="1" l="1"/>
  <c r="DG59" i="1"/>
  <c r="DG10" i="1" a="1"/>
  <c r="DG10" i="1" s="1"/>
  <c r="DG11" i="1" s="1"/>
  <c r="DH4" i="1"/>
  <c r="DG13" i="1" l="1"/>
  <c r="DG17" i="1" s="1"/>
  <c r="DG12" i="1"/>
  <c r="DH5" i="1"/>
  <c r="DH59" i="1" l="1"/>
  <c r="DH61" i="1"/>
  <c r="DH10" i="1" a="1"/>
  <c r="DH10" i="1" s="1"/>
  <c r="DH11" i="1" s="1"/>
  <c r="DI4" i="1"/>
  <c r="DH12" i="1" l="1"/>
  <c r="DH13" i="1"/>
  <c r="DH17" i="1" s="1"/>
  <c r="DI5" i="1"/>
  <c r="DI59" i="1" l="1"/>
  <c r="DI61" i="1"/>
  <c r="DI10" i="1" a="1"/>
  <c r="DI10" i="1" s="1"/>
  <c r="DI11" i="1" s="1"/>
  <c r="DJ4" i="1"/>
  <c r="DI13" i="1" l="1"/>
  <c r="DI17" i="1" s="1"/>
  <c r="DI12" i="1"/>
  <c r="DJ5" i="1"/>
  <c r="DJ59" i="1" l="1"/>
  <c r="DJ10" i="1" a="1"/>
  <c r="DJ10" i="1" s="1"/>
  <c r="DJ11" i="1" s="1"/>
  <c r="DJ61" i="1"/>
  <c r="DK4" i="1"/>
  <c r="DJ13" i="1" l="1"/>
  <c r="DJ17" i="1" s="1"/>
  <c r="DJ12" i="1"/>
  <c r="DK5" i="1"/>
  <c r="DK59" i="1" l="1"/>
  <c r="DK10" i="1" a="1"/>
  <c r="DK10" i="1" s="1"/>
  <c r="DK11" i="1" s="1"/>
  <c r="DK61" i="1"/>
  <c r="DL4" i="1"/>
  <c r="DK13" i="1" l="1"/>
  <c r="DK17" i="1" s="1"/>
  <c r="DK12" i="1"/>
  <c r="DL5" i="1"/>
  <c r="DL59" i="1" l="1"/>
  <c r="DL10" i="1" a="1"/>
  <c r="DL10" i="1" s="1"/>
  <c r="DL11" i="1" s="1"/>
  <c r="DL61" i="1"/>
  <c r="DM4" i="1"/>
  <c r="DL13" i="1" l="1"/>
  <c r="DL17" i="1" s="1"/>
  <c r="DL12" i="1"/>
  <c r="DM5" i="1"/>
  <c r="DM10" i="1" l="1" a="1"/>
  <c r="DM10" i="1" s="1"/>
  <c r="DM11" i="1" s="1"/>
  <c r="DM59" i="1"/>
  <c r="DM61" i="1"/>
  <c r="DN4" i="1"/>
  <c r="DM13" i="1" l="1"/>
  <c r="DM17" i="1" s="1"/>
  <c r="DM12" i="1"/>
  <c r="DN5" i="1"/>
  <c r="DN10" i="1" l="1" a="1"/>
  <c r="DN10" i="1" s="1"/>
  <c r="DN11" i="1" s="1"/>
  <c r="DN61" i="1"/>
  <c r="DN59" i="1"/>
  <c r="DO4" i="1"/>
  <c r="DN13" i="1" l="1"/>
  <c r="DN17" i="1" s="1"/>
  <c r="DN12" i="1"/>
  <c r="DO5" i="1"/>
  <c r="DO10" i="1" l="1" a="1"/>
  <c r="DO10" i="1" s="1"/>
  <c r="DO11" i="1" s="1"/>
  <c r="DO61" i="1"/>
  <c r="DO59" i="1"/>
  <c r="DP4" i="1"/>
  <c r="DO12" i="1" l="1"/>
  <c r="DO13" i="1"/>
  <c r="DO17" i="1" s="1"/>
  <c r="DP5" i="1"/>
  <c r="DP10" i="1" l="1" a="1"/>
  <c r="DP10" i="1" s="1"/>
  <c r="DP11" i="1" s="1"/>
  <c r="DP61" i="1"/>
  <c r="DP59" i="1"/>
  <c r="DQ4" i="1"/>
  <c r="DP13" i="1" l="1"/>
  <c r="DP17" i="1" s="1"/>
  <c r="DP12" i="1"/>
  <c r="DQ5" i="1"/>
  <c r="DQ10" i="1" l="1" a="1"/>
  <c r="DQ10" i="1" s="1"/>
  <c r="DQ11" i="1" s="1"/>
  <c r="DQ61" i="1"/>
  <c r="DQ59" i="1"/>
  <c r="DR4" i="1"/>
  <c r="DQ12" i="1" l="1"/>
  <c r="DQ13" i="1"/>
  <c r="DQ17" i="1" s="1"/>
  <c r="DR5" i="1"/>
  <c r="DR10" i="1" l="1" a="1"/>
  <c r="DR10" i="1" s="1"/>
  <c r="DR11" i="1" s="1"/>
  <c r="DR59" i="1"/>
  <c r="DR61" i="1"/>
  <c r="DS4" i="1"/>
  <c r="O69" i="1" s="1"/>
  <c r="CH29" i="1" l="1" a="1"/>
  <c r="CH29" i="1" s="1"/>
  <c r="AO29" i="1" a="1"/>
  <c r="AO29" i="1" s="1"/>
  <c r="BR29" i="1" a="1"/>
  <c r="BR29" i="1" s="1"/>
  <c r="DJ29" i="1" a="1"/>
  <c r="DJ29" i="1" s="1"/>
  <c r="U30" i="1" a="1"/>
  <c r="U30" i="1" s="1"/>
  <c r="AF30" i="1" a="1"/>
  <c r="AF30" i="1" s="1"/>
  <c r="AN25" i="1" a="1"/>
  <c r="AN25" i="1" s="1"/>
  <c r="AN33" i="1" s="1"/>
  <c r="CZ29" i="1" a="1"/>
  <c r="CZ29" i="1" s="1"/>
  <c r="CO25" i="1" a="1"/>
  <c r="CO25" i="1" s="1"/>
  <c r="CO33" i="1" s="1"/>
  <c r="CU30" i="1" a="1"/>
  <c r="CU30" i="1" s="1"/>
  <c r="AN29" i="1" a="1"/>
  <c r="AN29" i="1" s="1"/>
  <c r="DK25" i="1" a="1"/>
  <c r="DK25" i="1" s="1"/>
  <c r="DK33" i="1" s="1"/>
  <c r="BV24" i="1" a="1"/>
  <c r="BV24" i="1" s="1"/>
  <c r="BV32" i="1" s="1"/>
  <c r="AW29" i="1" a="1"/>
  <c r="AW29" i="1" s="1"/>
  <c r="DD25" i="1" a="1"/>
  <c r="DD25" i="1" s="1"/>
  <c r="DD33" i="1" s="1"/>
  <c r="CG24" i="1" a="1"/>
  <c r="CG24" i="1" s="1"/>
  <c r="CG32" i="1" s="1"/>
  <c r="AO23" i="1" a="1"/>
  <c r="AO23" i="1" s="1"/>
  <c r="AO31" i="1" s="1"/>
  <c r="CL46" i="1" a="1"/>
  <c r="CL46" i="1" s="1"/>
  <c r="BQ30" i="1" a="1"/>
  <c r="BQ30" i="1" s="1"/>
  <c r="BC24" i="1" a="1"/>
  <c r="BC24" i="1" s="1"/>
  <c r="BC32" i="1" s="1"/>
  <c r="Y23" i="1" a="1"/>
  <c r="Y23" i="1" s="1"/>
  <c r="Y31" i="1" s="1"/>
  <c r="DC46" i="1" a="1"/>
  <c r="DC46" i="1" s="1"/>
  <c r="DF29" i="1" a="1"/>
  <c r="DF29" i="1" s="1"/>
  <c r="M25" i="1" a="1"/>
  <c r="M25" i="1" s="1"/>
  <c r="M33" i="1" s="1"/>
  <c r="CR23" i="1" a="1"/>
  <c r="CR23" i="1" s="1"/>
  <c r="CR31" i="1" s="1"/>
  <c r="DS25" i="1" a="1"/>
  <c r="DS25" i="1" s="1"/>
  <c r="DS33" i="1" s="1"/>
  <c r="CC29" i="1" a="1"/>
  <c r="CC29" i="1" s="1"/>
  <c r="CN29" i="1" a="1"/>
  <c r="CN29" i="1" s="1"/>
  <c r="BC29" i="1" a="1"/>
  <c r="BC29" i="1" s="1"/>
  <c r="BZ29" i="1" a="1"/>
  <c r="BZ29" i="1" s="1"/>
  <c r="DQ29" i="1" a="1"/>
  <c r="DQ29" i="1" s="1"/>
  <c r="AB30" i="1" a="1"/>
  <c r="AB30" i="1" s="1"/>
  <c r="AM30" i="1" a="1"/>
  <c r="AM30" i="1" s="1"/>
  <c r="AC25" i="1" a="1"/>
  <c r="AC25" i="1" s="1"/>
  <c r="AC33" i="1" s="1"/>
  <c r="DS29" i="1" a="1"/>
  <c r="DS29" i="1" s="1"/>
  <c r="CC25" i="1" a="1"/>
  <c r="CC25" i="1" s="1"/>
  <c r="CC33" i="1" s="1"/>
  <c r="DC30" i="1" a="1"/>
  <c r="DC30" i="1" s="1"/>
  <c r="BX29" i="1" a="1"/>
  <c r="BX29" i="1" s="1"/>
  <c r="CX25" i="1" a="1"/>
  <c r="CX25" i="1" s="1"/>
  <c r="CX33" i="1" s="1"/>
  <c r="BD24" i="1" a="1"/>
  <c r="BD24" i="1" s="1"/>
  <c r="BD32" i="1" s="1"/>
  <c r="BG29" i="1" a="1"/>
  <c r="BG29" i="1" s="1"/>
  <c r="CR25" i="1" a="1"/>
  <c r="CR25" i="1" s="1"/>
  <c r="CR33" i="1" s="1"/>
  <c r="BI24" i="1" a="1"/>
  <c r="BI24" i="1" s="1"/>
  <c r="BI32" i="1" s="1"/>
  <c r="AF23" i="1" a="1"/>
  <c r="AF23" i="1" s="1"/>
  <c r="AF31" i="1" s="1"/>
  <c r="CS46" i="1" a="1"/>
  <c r="CS46" i="1" s="1"/>
  <c r="DF25" i="1" a="1"/>
  <c r="DF25" i="1" s="1"/>
  <c r="DF33" i="1" s="1"/>
  <c r="AJ24" i="1" a="1"/>
  <c r="AJ24" i="1" s="1"/>
  <c r="AJ32" i="1" s="1"/>
  <c r="M23" i="1" a="1"/>
  <c r="M23" i="1" s="1"/>
  <c r="M31" i="1" s="1"/>
  <c r="DS46" i="1" a="1"/>
  <c r="DS46" i="1" s="1"/>
  <c r="S30" i="1" a="1"/>
  <c r="S30" i="1" s="1"/>
  <c r="DO24" i="1" a="1"/>
  <c r="DO24" i="1" s="1"/>
  <c r="DO32" i="1" s="1"/>
  <c r="BM23" i="1" a="1"/>
  <c r="BM23" i="1" s="1"/>
  <c r="BM31" i="1" s="1"/>
  <c r="F29" i="1" a="1"/>
  <c r="F29" i="1" s="1"/>
  <c r="CU29" i="1" a="1"/>
  <c r="CU29" i="1" s="1"/>
  <c r="BP29" i="1" a="1"/>
  <c r="BP29" i="1" s="1"/>
  <c r="CG29" i="1" a="1"/>
  <c r="CG29" i="1" s="1"/>
  <c r="AH30" i="1" a="1"/>
  <c r="AH30" i="1" s="1"/>
  <c r="AI30" i="1" a="1"/>
  <c r="AI30" i="1" s="1"/>
  <c r="BH30" i="1" a="1"/>
  <c r="BH30" i="1" s="1"/>
  <c r="X29" i="1" a="1"/>
  <c r="X29" i="1" s="1"/>
  <c r="Y30" i="1" a="1"/>
  <c r="Y30" i="1" s="1"/>
  <c r="D30" i="1" a="1"/>
  <c r="D30" i="1" s="1"/>
  <c r="DK30" i="1" a="1"/>
  <c r="DK30" i="1" s="1"/>
  <c r="DB29" i="1" a="1"/>
  <c r="DB29" i="1" s="1"/>
  <c r="CM25" i="1" a="1"/>
  <c r="CM25" i="1" s="1"/>
  <c r="CM33" i="1" s="1"/>
  <c r="AV24" i="1" a="1"/>
  <c r="AV24" i="1" s="1"/>
  <c r="AV32" i="1" s="1"/>
  <c r="CD29" i="1" a="1"/>
  <c r="CD29" i="1" s="1"/>
  <c r="CG25" i="1" a="1"/>
  <c r="CG25" i="1" s="1"/>
  <c r="CG33" i="1" s="1"/>
  <c r="AQ24" i="1" a="1"/>
  <c r="AQ24" i="1" s="1"/>
  <c r="AQ32" i="1" s="1"/>
  <c r="U23" i="1" a="1"/>
  <c r="U23" i="1" s="1"/>
  <c r="U31" i="1" s="1"/>
  <c r="DH46" i="1" a="1"/>
  <c r="DH46" i="1" s="1"/>
  <c r="BW25" i="1" a="1"/>
  <c r="BW25" i="1" s="1"/>
  <c r="BW33" i="1" s="1"/>
  <c r="X24" i="1" a="1"/>
  <c r="X24" i="1" s="1"/>
  <c r="X32" i="1" s="1"/>
  <c r="D23" i="1" a="1"/>
  <c r="D23" i="1" s="1"/>
  <c r="D31" i="1" s="1"/>
  <c r="U49" i="1" a="1"/>
  <c r="U49" i="1" s="1"/>
  <c r="AE30" i="1" a="1"/>
  <c r="AE30" i="1" s="1"/>
  <c r="DC24" i="1" a="1"/>
  <c r="DC24" i="1" s="1"/>
  <c r="DC32" i="1" s="1"/>
  <c r="AT23" i="1" a="1"/>
  <c r="AT23" i="1" s="1"/>
  <c r="AT31" i="1" s="1"/>
  <c r="CK25" i="1" a="1"/>
  <c r="CK25" i="1" s="1"/>
  <c r="CK33" i="1" s="1"/>
  <c r="M29" i="1" a="1"/>
  <c r="M29" i="1" s="1"/>
  <c r="DN29" i="1" a="1"/>
  <c r="DN29" i="1" s="1"/>
  <c r="BW29" i="1" a="1"/>
  <c r="BW29" i="1" s="1"/>
  <c r="J30" i="1" a="1"/>
  <c r="J30" i="1" s="1"/>
  <c r="AO30" i="1" a="1"/>
  <c r="AO30" i="1" s="1"/>
  <c r="F30" i="1" a="1"/>
  <c r="F30" i="1" s="1"/>
  <c r="BO30" i="1" a="1"/>
  <c r="BO30" i="1" s="1"/>
  <c r="AX29" i="1" a="1"/>
  <c r="AX29" i="1" s="1"/>
  <c r="AQ30" i="1" a="1"/>
  <c r="AQ30" i="1" s="1"/>
  <c r="AY29" i="1" a="1"/>
  <c r="AY29" i="1" s="1"/>
  <c r="CZ25" i="1" a="1"/>
  <c r="CZ25" i="1" s="1"/>
  <c r="CZ33" i="1" s="1"/>
  <c r="Q30" i="1" a="1"/>
  <c r="Q30" i="1" s="1"/>
  <c r="CA25" i="1" a="1"/>
  <c r="CA25" i="1" s="1"/>
  <c r="CA33" i="1" s="1"/>
  <c r="AN24" i="1" a="1"/>
  <c r="AN24" i="1" s="1"/>
  <c r="AN32" i="1" s="1"/>
  <c r="W30" i="1" a="1"/>
  <c r="W30" i="1" s="1"/>
  <c r="BU25" i="1" a="1"/>
  <c r="BU25" i="1" s="1"/>
  <c r="BU33" i="1" s="1"/>
  <c r="AI24" i="1" a="1"/>
  <c r="AI24" i="1" s="1"/>
  <c r="AI32" i="1" s="1"/>
  <c r="K23" i="1" a="1"/>
  <c r="K23" i="1" s="1"/>
  <c r="K31" i="1" s="1"/>
  <c r="K49" i="1" a="1"/>
  <c r="K49" i="1" s="1"/>
  <c r="BG25" i="1" a="1"/>
  <c r="BG25" i="1" s="1"/>
  <c r="BG33" i="1" s="1"/>
  <c r="DR23" i="1" a="1"/>
  <c r="DR23" i="1" s="1"/>
  <c r="DR31" i="1" s="1"/>
  <c r="H46" i="1" a="1"/>
  <c r="H46" i="1" s="1"/>
  <c r="AC49" i="1" a="1"/>
  <c r="AC49" i="1" s="1"/>
  <c r="AS30" i="1" a="1"/>
  <c r="AS30" i="1" s="1"/>
  <c r="CQ24" i="1" a="1"/>
  <c r="CQ24" i="1" s="1"/>
  <c r="CQ32" i="1" s="1"/>
  <c r="AI23" i="1" a="1"/>
  <c r="AI23" i="1" s="1"/>
  <c r="AI31" i="1" s="1"/>
  <c r="BT25" i="1" a="1"/>
  <c r="BT25" i="1" s="1"/>
  <c r="BT33" i="1" s="1"/>
  <c r="AG30" i="1" a="1"/>
  <c r="AG30" i="1" s="1"/>
  <c r="X25" i="1" a="1"/>
  <c r="X25" i="1" s="1"/>
  <c r="X33" i="1" s="1"/>
  <c r="E29" i="1" a="1"/>
  <c r="E29" i="1" s="1"/>
  <c r="CI25" i="1" a="1"/>
  <c r="CI25" i="1" s="1"/>
  <c r="CI33" i="1" s="1"/>
  <c r="AF24" i="1" a="1"/>
  <c r="AF24" i="1" s="1"/>
  <c r="AF32" i="1" s="1"/>
  <c r="BA29" i="1" a="1"/>
  <c r="BA29" i="1" s="1"/>
  <c r="CA23" i="1" a="1"/>
  <c r="CA23" i="1" s="1"/>
  <c r="CA31" i="1" s="1"/>
  <c r="DN46" i="1" a="1"/>
  <c r="DN46" i="1" s="1"/>
  <c r="G30" i="1" a="1"/>
  <c r="G30" i="1" s="1"/>
  <c r="X30" i="1" a="1"/>
  <c r="X30" i="1" s="1"/>
  <c r="H29" i="1" a="1"/>
  <c r="H29" i="1" s="1"/>
  <c r="U29" i="1" a="1"/>
  <c r="U29" i="1" s="1"/>
  <c r="AV30" i="1" a="1"/>
  <c r="AV30" i="1" s="1"/>
  <c r="O30" i="1" a="1"/>
  <c r="O30" i="1" s="1"/>
  <c r="CZ30" i="1" a="1"/>
  <c r="CZ30" i="1" s="1"/>
  <c r="BI29" i="1" a="1"/>
  <c r="BI29" i="1" s="1"/>
  <c r="AY30" i="1" a="1"/>
  <c r="AY30" i="1" s="1"/>
  <c r="BL29" i="1" a="1"/>
  <c r="BL29" i="1" s="1"/>
  <c r="CB25" i="1" a="1"/>
  <c r="CB25" i="1" s="1"/>
  <c r="CB33" i="1" s="1"/>
  <c r="AJ30" i="1" a="1"/>
  <c r="AJ30" i="1" s="1"/>
  <c r="BD25" i="1" a="1"/>
  <c r="BD25" i="1" s="1"/>
  <c r="BD33" i="1" s="1"/>
  <c r="AE24" i="1" a="1"/>
  <c r="AE24" i="1" s="1"/>
  <c r="AE32" i="1" s="1"/>
  <c r="BE30" i="1" a="1"/>
  <c r="BE30" i="1" s="1"/>
  <c r="BJ25" i="1" a="1"/>
  <c r="BJ25" i="1" s="1"/>
  <c r="BJ33" i="1" s="1"/>
  <c r="Z24" i="1" a="1"/>
  <c r="Z24" i="1" s="1"/>
  <c r="Z32" i="1" s="1"/>
  <c r="N46" i="1" a="1"/>
  <c r="N46" i="1" s="1"/>
  <c r="Y49" i="1" a="1"/>
  <c r="Y49" i="1" s="1"/>
  <c r="AQ25" i="1" a="1"/>
  <c r="AQ25" i="1" s="1"/>
  <c r="AQ33" i="1" s="1"/>
  <c r="DF23" i="1" a="1"/>
  <c r="DF23" i="1" s="1"/>
  <c r="DF31" i="1" s="1"/>
  <c r="Q46" i="1" a="1"/>
  <c r="Q46" i="1" s="1"/>
  <c r="BN49" i="1" a="1"/>
  <c r="BN49" i="1" s="1"/>
  <c r="CB30" i="1" a="1"/>
  <c r="CB30" i="1" s="1"/>
  <c r="BW24" i="1" a="1"/>
  <c r="BW24" i="1" s="1"/>
  <c r="BW40" i="1" s="1" a="1"/>
  <c r="BW40" i="1" s="1"/>
  <c r="X23" i="1" a="1"/>
  <c r="X23" i="1" s="1"/>
  <c r="X31" i="1" s="1"/>
  <c r="BC25" i="1" a="1"/>
  <c r="BC25" i="1" s="1"/>
  <c r="BC33" i="1" s="1"/>
  <c r="AU30" i="1" a="1"/>
  <c r="AU30" i="1" s="1"/>
  <c r="J25" i="1" a="1"/>
  <c r="J25" i="1" s="1"/>
  <c r="J33" i="1" s="1"/>
  <c r="Q29" i="1" a="1"/>
  <c r="Q29" i="1" s="1"/>
  <c r="BQ25" i="1" a="1"/>
  <c r="BQ25" i="1" s="1"/>
  <c r="BQ33" i="1" s="1"/>
  <c r="T24" i="1" a="1"/>
  <c r="T24" i="1" s="1"/>
  <c r="T32" i="1" s="1"/>
  <c r="AC30" i="1" a="1"/>
  <c r="AC30" i="1" s="1"/>
  <c r="AL23" i="1" a="1"/>
  <c r="AL23" i="1" s="1"/>
  <c r="AL31" i="1" s="1"/>
  <c r="P49" i="1" a="1"/>
  <c r="P49" i="1" s="1"/>
  <c r="AN46" i="1" a="1"/>
  <c r="AN46" i="1" s="1"/>
  <c r="AO46" i="1" a="1"/>
  <c r="AO46" i="1" s="1"/>
  <c r="AP46" i="1" a="1"/>
  <c r="AP46" i="1" s="1"/>
  <c r="CR30" i="1" a="1"/>
  <c r="CR30" i="1" s="1"/>
  <c r="DD23" i="1" a="1"/>
  <c r="DD23" i="1" s="1"/>
  <c r="DD31" i="1" s="1"/>
  <c r="DD34" i="1" s="1"/>
  <c r="AX49" i="1" a="1"/>
  <c r="AX49" i="1" s="1"/>
  <c r="CU24" i="1" a="1"/>
  <c r="CU24" i="1" s="1"/>
  <c r="CU32" i="1" s="1"/>
  <c r="AY46" i="1" a="1"/>
  <c r="AY46" i="1" s="1"/>
  <c r="BC30" i="1" a="1"/>
  <c r="BC30" i="1" s="1"/>
  <c r="E24" i="1" a="1"/>
  <c r="E24" i="1" s="1"/>
  <c r="E32" i="1" s="1"/>
  <c r="BO25" i="1" a="1"/>
  <c r="BO25" i="1" s="1"/>
  <c r="BO33" i="1" s="1"/>
  <c r="BH23" i="1" a="1"/>
  <c r="BH23" i="1" s="1"/>
  <c r="BH31" i="1" s="1"/>
  <c r="AT29" i="1" a="1"/>
  <c r="AT29" i="1" s="1"/>
  <c r="CQ30" i="1" a="1"/>
  <c r="CQ30" i="1" s="1"/>
  <c r="H30" i="1" a="1"/>
  <c r="H30" i="1" s="1"/>
  <c r="CV29" i="1" a="1"/>
  <c r="CV29" i="1" s="1"/>
  <c r="CO29" i="1" a="1"/>
  <c r="CO29" i="1" s="1"/>
  <c r="CL29" i="1" a="1"/>
  <c r="CL29" i="1" s="1"/>
  <c r="BI25" i="1" a="1"/>
  <c r="BI25" i="1" s="1"/>
  <c r="BI33" i="1" s="1"/>
  <c r="BJ29" i="1" a="1"/>
  <c r="BJ29" i="1" s="1"/>
  <c r="DL25" i="1" a="1"/>
  <c r="DL25" i="1" s="1"/>
  <c r="DL33" i="1" s="1"/>
  <c r="BX30" i="1" a="1"/>
  <c r="BX30" i="1" s="1"/>
  <c r="E30" i="1" a="1"/>
  <c r="E30" i="1" s="1"/>
  <c r="DL30" i="1" a="1"/>
  <c r="DL30" i="1" s="1"/>
  <c r="DF24" i="1" a="1"/>
  <c r="DF24" i="1" s="1"/>
  <c r="DF32" i="1" s="1"/>
  <c r="V29" i="1" a="1"/>
  <c r="V29" i="1" s="1"/>
  <c r="DP30" i="1" a="1"/>
  <c r="DP30" i="1" s="1"/>
  <c r="CY24" i="1" a="1"/>
  <c r="CY24" i="1" s="1"/>
  <c r="CY32" i="1" s="1"/>
  <c r="BG23" i="1" a="1"/>
  <c r="BG23" i="1" s="1"/>
  <c r="BG31" i="1" s="1"/>
  <c r="BG34" i="1" s="1"/>
  <c r="BW46" i="1" a="1"/>
  <c r="BW46" i="1" s="1"/>
  <c r="R30" i="1" a="1"/>
  <c r="R30" i="1" s="1"/>
  <c r="BX24" i="1" a="1"/>
  <c r="BX24" i="1" s="1"/>
  <c r="BX32" i="1" s="1"/>
  <c r="AU23" i="1" a="1"/>
  <c r="AU23" i="1" s="1"/>
  <c r="AU31" i="1" s="1"/>
  <c r="CE46" i="1" a="1"/>
  <c r="CE46" i="1" s="1"/>
  <c r="CB29" i="1" a="1"/>
  <c r="CB29" i="1" s="1"/>
  <c r="BF25" i="1" a="1"/>
  <c r="BF25" i="1" s="1"/>
  <c r="BF33" i="1" s="1"/>
  <c r="DQ23" i="1" a="1"/>
  <c r="DQ23" i="1" s="1"/>
  <c r="DQ31" i="1" s="1"/>
  <c r="BR30" i="1" a="1"/>
  <c r="BR30" i="1" s="1"/>
  <c r="D29" i="1" a="1"/>
  <c r="D29" i="1" s="1"/>
  <c r="DB25" i="1" a="1"/>
  <c r="DB25" i="1" s="1"/>
  <c r="DB33" i="1" s="1"/>
  <c r="U24" i="1" a="1"/>
  <c r="U24" i="1" s="1"/>
  <c r="U32" i="1" s="1"/>
  <c r="BT30" i="1" a="1"/>
  <c r="BT30" i="1" s="1"/>
  <c r="CN24" i="1" a="1"/>
  <c r="CN24" i="1" s="1"/>
  <c r="CN32" i="1" s="1"/>
  <c r="BB23" i="1" a="1"/>
  <c r="BB23" i="1" s="1"/>
  <c r="BB31" i="1" s="1"/>
  <c r="CW24" i="1" a="1"/>
  <c r="CW24" i="1" s="1"/>
  <c r="CW32" i="1" s="1"/>
  <c r="AX46" i="1" a="1"/>
  <c r="AX46" i="1" s="1"/>
  <c r="CU49" i="1" a="1"/>
  <c r="CU49" i="1" s="1"/>
  <c r="Q49" i="1" a="1"/>
  <c r="Q49" i="1" s="1"/>
  <c r="AI49" i="1" a="1"/>
  <c r="AI49" i="1" s="1"/>
  <c r="S29" i="1" a="1"/>
  <c r="S29" i="1" s="1"/>
  <c r="CV24" i="1" a="1"/>
  <c r="CV24" i="1" s="1"/>
  <c r="CV32" i="1" s="1"/>
  <c r="G23" i="1" a="1"/>
  <c r="G23" i="1" s="1"/>
  <c r="G31" i="1" s="1"/>
  <c r="W29" i="1" a="1"/>
  <c r="W29" i="1" s="1"/>
  <c r="DA23" i="1" a="1"/>
  <c r="DA23" i="1" s="1"/>
  <c r="DA31" i="1" s="1"/>
  <c r="BY46" i="1" a="1"/>
  <c r="BY46" i="1" s="1"/>
  <c r="S25" i="1" a="1"/>
  <c r="S25" i="1" s="1"/>
  <c r="S33" i="1" s="1"/>
  <c r="AB29" i="1" a="1"/>
  <c r="AB29" i="1" s="1"/>
  <c r="AK24" i="1" a="1"/>
  <c r="AK24" i="1" s="1"/>
  <c r="AK32" i="1" s="1"/>
  <c r="CA30" i="1" a="1"/>
  <c r="CA30" i="1" s="1"/>
  <c r="CX23" i="1" a="1"/>
  <c r="CX23" i="1" s="1"/>
  <c r="CX31" i="1" s="1"/>
  <c r="AK25" i="1" a="1"/>
  <c r="AK25" i="1" s="1"/>
  <c r="AK33" i="1" s="1"/>
  <c r="E49" i="1" a="1"/>
  <c r="E49" i="1" s="1"/>
  <c r="CB49" i="1" a="1"/>
  <c r="CB49" i="1" s="1"/>
  <c r="BN46" i="1" a="1"/>
  <c r="BN46" i="1" s="1"/>
  <c r="X49" i="1" a="1"/>
  <c r="X49" i="1" s="1"/>
  <c r="L23" i="1" a="1"/>
  <c r="L23" i="1" s="1"/>
  <c r="L31" i="1" s="1"/>
  <c r="CV23" i="1" a="1"/>
  <c r="CV23" i="1" s="1"/>
  <c r="CV31" i="1" s="1"/>
  <c r="CN46" i="1" a="1"/>
  <c r="CN46" i="1" s="1"/>
  <c r="O25" i="1" a="1"/>
  <c r="O25" i="1" s="1"/>
  <c r="O33" i="1" s="1"/>
  <c r="BY24" i="1" a="1"/>
  <c r="BY24" i="1" s="1"/>
  <c r="BY32" i="1" s="1"/>
  <c r="AB46" i="1" a="1"/>
  <c r="AB46" i="1" s="1"/>
  <c r="AF25" i="1" a="1"/>
  <c r="AF25" i="1" s="1"/>
  <c r="AF33" i="1" s="1"/>
  <c r="CX30" i="1" a="1"/>
  <c r="CX30" i="1" s="1"/>
  <c r="BT24" i="1" a="1"/>
  <c r="BT24" i="1" s="1"/>
  <c r="BT32" i="1" s="1"/>
  <c r="AU49" i="1" a="1"/>
  <c r="AU49" i="1" s="1"/>
  <c r="DB49" i="1" a="1"/>
  <c r="DB49" i="1" s="1"/>
  <c r="AQ23" i="1" a="1"/>
  <c r="AQ23" i="1" s="1"/>
  <c r="AQ31" i="1" s="1"/>
  <c r="AQ34" i="1" s="1"/>
  <c r="AE23" i="1" a="1"/>
  <c r="AE23" i="1" s="1"/>
  <c r="AE31" i="1" s="1"/>
  <c r="BA49" i="1" a="1"/>
  <c r="BA49" i="1" s="1"/>
  <c r="AD23" i="1" a="1"/>
  <c r="AD23" i="1" s="1"/>
  <c r="AD31" i="1" s="1"/>
  <c r="BL30" i="1" a="1"/>
  <c r="BL30" i="1" s="1"/>
  <c r="AV46" i="1" a="1"/>
  <c r="AV46" i="1" s="1"/>
  <c r="BH29" i="1" a="1"/>
  <c r="BH29" i="1" s="1"/>
  <c r="P30" i="1" a="1"/>
  <c r="P30" i="1" s="1"/>
  <c r="AC29" i="1" a="1"/>
  <c r="AC29" i="1" s="1"/>
  <c r="DC29" i="1" a="1"/>
  <c r="DC29" i="1" s="1"/>
  <c r="CW29" i="1" a="1"/>
  <c r="CW29" i="1" s="1"/>
  <c r="DG29" i="1" a="1"/>
  <c r="DG29" i="1" s="1"/>
  <c r="AX25" i="1" a="1"/>
  <c r="AX25" i="1" s="1"/>
  <c r="AX33" i="1" s="1"/>
  <c r="CQ29" i="1" a="1"/>
  <c r="CQ29" i="1" s="1"/>
  <c r="DA25" i="1" a="1"/>
  <c r="DA25" i="1" s="1"/>
  <c r="DA33" i="1" s="1"/>
  <c r="CF30" i="1" a="1"/>
  <c r="CF30" i="1" s="1"/>
  <c r="Z29" i="1" a="1"/>
  <c r="Z29" i="1" s="1"/>
  <c r="DS30" i="1" a="1"/>
  <c r="DS30" i="1" s="1"/>
  <c r="CL24" i="1" a="1"/>
  <c r="CL24" i="1" s="1"/>
  <c r="CL32" i="1" s="1"/>
  <c r="O29" i="1" a="1"/>
  <c r="O29" i="1" s="1"/>
  <c r="BD29" i="1" a="1"/>
  <c r="BD29" i="1" s="1"/>
  <c r="BS25" i="1" a="1"/>
  <c r="BS25" i="1" s="1"/>
  <c r="BS33" i="1" s="1"/>
  <c r="CR29" i="1" a="1"/>
  <c r="CR29" i="1" s="1"/>
  <c r="BY30" i="1" a="1"/>
  <c r="BY30" i="1" s="1"/>
  <c r="AH29" i="1" a="1"/>
  <c r="AH29" i="1" s="1"/>
  <c r="CO24" i="1" a="1"/>
  <c r="CO24" i="1" s="1"/>
  <c r="CO32" i="1" s="1"/>
  <c r="CD46" i="1" a="1"/>
  <c r="CD46" i="1" s="1"/>
  <c r="BN24" i="1" a="1"/>
  <c r="BN24" i="1" s="1"/>
  <c r="BN32" i="1" s="1"/>
  <c r="CU46" i="1" a="1"/>
  <c r="CU46" i="1" s="1"/>
  <c r="AA25" i="1" a="1"/>
  <c r="AA25" i="1" s="1"/>
  <c r="AA33" i="1" s="1"/>
  <c r="CC30" i="1" a="1"/>
  <c r="CC30" i="1" s="1"/>
  <c r="CP30" i="1" a="1"/>
  <c r="CP30" i="1" s="1"/>
  <c r="J24" i="1" a="1"/>
  <c r="J24" i="1" s="1"/>
  <c r="J32" i="1" s="1"/>
  <c r="DQ25" i="1" a="1"/>
  <c r="DQ25" i="1" s="1"/>
  <c r="DQ33" i="1" s="1"/>
  <c r="CF23" i="1" a="1"/>
  <c r="CF23" i="1" s="1"/>
  <c r="CF31" i="1" s="1"/>
  <c r="CH24" i="1" a="1"/>
  <c r="CH24" i="1" s="1"/>
  <c r="CH32" i="1" s="1"/>
  <c r="DF46" i="1" a="1"/>
  <c r="DF46" i="1" s="1"/>
  <c r="CG46" i="1" a="1"/>
  <c r="CG46" i="1" s="1"/>
  <c r="DP46" i="1" a="1"/>
  <c r="DP46" i="1" s="1"/>
  <c r="BB29" i="1" a="1"/>
  <c r="BB29" i="1" s="1"/>
  <c r="BA24" i="1" a="1"/>
  <c r="BA24" i="1" s="1"/>
  <c r="BA32" i="1" s="1"/>
  <c r="CP46" i="1" a="1"/>
  <c r="CP46" i="1" s="1"/>
  <c r="BQ24" i="1" a="1"/>
  <c r="BQ24" i="1" s="1"/>
  <c r="BQ32" i="1" s="1"/>
  <c r="AG46" i="1" a="1"/>
  <c r="AG46" i="1" s="1"/>
  <c r="CT24" i="1" a="1"/>
  <c r="CT24" i="1" s="1"/>
  <c r="CT32" i="1" s="1"/>
  <c r="DP29" i="1" a="1"/>
  <c r="DP29" i="1" s="1"/>
  <c r="BU23" i="1" a="1"/>
  <c r="BU23" i="1" s="1"/>
  <c r="BU31" i="1" s="1"/>
  <c r="CA24" i="1" a="1"/>
  <c r="CA24" i="1" s="1"/>
  <c r="CA32" i="1" s="1"/>
  <c r="AS29" i="1" a="1"/>
  <c r="AS29" i="1" s="1"/>
  <c r="BZ46" i="1" a="1"/>
  <c r="BZ46" i="1" s="1"/>
  <c r="BC49" i="1" a="1"/>
  <c r="BC49" i="1" s="1"/>
  <c r="AA46" i="1" a="1"/>
  <c r="AA46" i="1" s="1"/>
  <c r="BI49" i="1" a="1"/>
  <c r="BI49" i="1" s="1"/>
  <c r="AM49" i="1" a="1"/>
  <c r="AM49" i="1" s="1"/>
  <c r="AB23" i="1" a="1"/>
  <c r="AB23" i="1" s="1"/>
  <c r="AB31" i="1" s="1"/>
  <c r="Z23" i="1" a="1"/>
  <c r="Z23" i="1" s="1"/>
  <c r="Z31" i="1" s="1"/>
  <c r="H25" i="1" a="1"/>
  <c r="H25" i="1" s="1"/>
  <c r="H33" i="1" s="1"/>
  <c r="AA23" i="1" a="1"/>
  <c r="AA23" i="1" s="1"/>
  <c r="AA31" i="1" s="1"/>
  <c r="BY49" i="1" a="1"/>
  <c r="BY49" i="1" s="1"/>
  <c r="CR49" i="1" a="1"/>
  <c r="CR49" i="1" s="1"/>
  <c r="CP25" i="1" a="1"/>
  <c r="CP25" i="1" s="1"/>
  <c r="CP33" i="1" s="1"/>
  <c r="W49" i="1" a="1"/>
  <c r="W49" i="1" s="1"/>
  <c r="BT49" i="1" a="1"/>
  <c r="BT49" i="1" s="1"/>
  <c r="P23" i="1" a="1"/>
  <c r="P23" i="1" s="1"/>
  <c r="P31" i="1" s="1"/>
  <c r="DJ46" i="1" a="1"/>
  <c r="DJ46" i="1" s="1"/>
  <c r="CC23" i="1" a="1"/>
  <c r="CC23" i="1" s="1"/>
  <c r="CC31" i="1" s="1"/>
  <c r="AJ46" i="1" a="1"/>
  <c r="AJ46" i="1" s="1"/>
  <c r="AB49" i="1" a="1"/>
  <c r="AB49" i="1" s="1"/>
  <c r="BK49" i="1" a="1"/>
  <c r="BK49" i="1" s="1"/>
  <c r="AV40" i="1" a="1"/>
  <c r="AV40" i="1" s="1"/>
  <c r="C24" i="1" a="1"/>
  <c r="C24" i="1" s="1"/>
  <c r="C32" i="1" s="1"/>
  <c r="CZ24" i="1" a="1"/>
  <c r="CZ24" i="1" s="1"/>
  <c r="CZ32" i="1" s="1"/>
  <c r="H23" i="1" a="1"/>
  <c r="H23" i="1" s="1"/>
  <c r="H31" i="1" s="1"/>
  <c r="AP49" i="1" a="1"/>
  <c r="AP49" i="1" s="1"/>
  <c r="BJ23" i="1" a="1"/>
  <c r="BJ23" i="1" s="1"/>
  <c r="BJ31" i="1" s="1"/>
  <c r="AX23" i="1" a="1"/>
  <c r="AX23" i="1" s="1"/>
  <c r="AX31" i="1" s="1"/>
  <c r="DO29" i="1" a="1"/>
  <c r="DO29" i="1" s="1"/>
  <c r="DR29" i="1" a="1"/>
  <c r="DR29" i="1" s="1"/>
  <c r="CJ29" i="1" a="1"/>
  <c r="CJ29" i="1" s="1"/>
  <c r="BP49" i="1" a="1"/>
  <c r="BP49" i="1" s="1"/>
  <c r="M49" i="1" a="1"/>
  <c r="M49" i="1" s="1"/>
  <c r="CM46" i="1" a="1"/>
  <c r="CM46" i="1" s="1"/>
  <c r="BE46" i="1" a="1"/>
  <c r="BE46" i="1" s="1"/>
  <c r="V49" i="1" a="1"/>
  <c r="V49" i="1" s="1"/>
  <c r="BT46" i="1" a="1"/>
  <c r="BT46" i="1" s="1"/>
  <c r="C30" i="1" a="1"/>
  <c r="C30" i="1" s="1"/>
  <c r="CI46" i="1" a="1"/>
  <c r="CI46" i="1" s="1"/>
  <c r="F46" i="1" a="1"/>
  <c r="F46" i="1" s="1"/>
  <c r="DG23" i="1" a="1"/>
  <c r="DG23" i="1" s="1"/>
  <c r="DG31" i="1" s="1"/>
  <c r="AL29" i="1" a="1"/>
  <c r="AL29" i="1" s="1"/>
  <c r="BG30" i="1" a="1"/>
  <c r="BG30" i="1" s="1"/>
  <c r="DP24" i="1" a="1"/>
  <c r="DP24" i="1" s="1"/>
  <c r="DP32" i="1" s="1"/>
  <c r="DO25" i="1" a="1"/>
  <c r="DO25" i="1" s="1"/>
  <c r="DO33" i="1" s="1"/>
  <c r="BD30" i="1" a="1"/>
  <c r="BD30" i="1" s="1"/>
  <c r="I30" i="1" a="1"/>
  <c r="I30" i="1" s="1"/>
  <c r="BT29" i="1" a="1"/>
  <c r="BT29" i="1" s="1"/>
  <c r="BV29" i="1" a="1"/>
  <c r="BV29" i="1" s="1"/>
  <c r="DA29" i="1" a="1"/>
  <c r="DA29" i="1" s="1"/>
  <c r="CN30" i="1" a="1"/>
  <c r="CN30" i="1" s="1"/>
  <c r="BU30" i="1" a="1"/>
  <c r="BU30" i="1" s="1"/>
  <c r="DM23" i="1" a="1"/>
  <c r="DM23" i="1" s="1"/>
  <c r="DM31" i="1" s="1"/>
  <c r="AS49" i="1" a="1"/>
  <c r="AS49" i="1" s="1"/>
  <c r="CT23" i="1" a="1"/>
  <c r="CT23" i="1" s="1"/>
  <c r="CT31" i="1" s="1"/>
  <c r="CD49" i="1" a="1"/>
  <c r="CD49" i="1" s="1"/>
  <c r="BM24" i="1" a="1"/>
  <c r="BM24" i="1" s="1"/>
  <c r="BM32" i="1" s="1"/>
  <c r="DC25" i="1" a="1"/>
  <c r="DC25" i="1" s="1"/>
  <c r="DC33" i="1" s="1"/>
  <c r="DB30" i="1" a="1"/>
  <c r="DB30" i="1" s="1"/>
  <c r="DO23" i="1" a="1"/>
  <c r="DO23" i="1" s="1"/>
  <c r="DO31" i="1" s="1"/>
  <c r="AM25" i="1" a="1"/>
  <c r="AM25" i="1" s="1"/>
  <c r="AM33" i="1" s="1"/>
  <c r="BV23" i="1" a="1"/>
  <c r="BV23" i="1" s="1"/>
  <c r="BV31" i="1" s="1"/>
  <c r="BS24" i="1" a="1"/>
  <c r="BS24" i="1" s="1"/>
  <c r="BS32" i="1" s="1"/>
  <c r="AG49" i="1" a="1"/>
  <c r="AG49" i="1" s="1"/>
  <c r="CX46" i="1" a="1"/>
  <c r="CX46" i="1" s="1"/>
  <c r="I49" i="1" a="1"/>
  <c r="I49" i="1" s="1"/>
  <c r="CK29" i="1" a="1"/>
  <c r="CK29" i="1" s="1"/>
  <c r="AM24" i="1" a="1"/>
  <c r="AM24" i="1" s="1"/>
  <c r="AM32" i="1" s="1"/>
  <c r="DD49" i="1" a="1"/>
  <c r="DD49" i="1" s="1"/>
  <c r="AX24" i="1" a="1"/>
  <c r="AX24" i="1" s="1"/>
  <c r="AX32" i="1" s="1"/>
  <c r="AZ46" i="1" a="1"/>
  <c r="AZ46" i="1" s="1"/>
  <c r="CB24" i="1" a="1"/>
  <c r="CB24" i="1" s="1"/>
  <c r="CB32" i="1" s="1"/>
  <c r="CV30" i="1" a="1"/>
  <c r="CV30" i="1" s="1"/>
  <c r="AV23" i="1" a="1"/>
  <c r="AV23" i="1" s="1"/>
  <c r="AV31" i="1" s="1"/>
  <c r="BL24" i="1" a="1"/>
  <c r="BL24" i="1" s="1"/>
  <c r="BL32" i="1" s="1"/>
  <c r="V30" i="1" a="1"/>
  <c r="V30" i="1" s="1"/>
  <c r="CK46" i="1" a="1"/>
  <c r="CK46" i="1" s="1"/>
  <c r="BQ49" i="1" a="1"/>
  <c r="BQ49" i="1" s="1"/>
  <c r="G49" i="1" a="1"/>
  <c r="G49" i="1" s="1"/>
  <c r="CM24" i="1" a="1"/>
  <c r="CM24" i="1" s="1"/>
  <c r="CM32" i="1" s="1"/>
  <c r="BJ49" i="1" a="1"/>
  <c r="BJ49" i="1" s="1"/>
  <c r="CZ41" i="1" a="1"/>
  <c r="CZ41" i="1" s="1"/>
  <c r="CB46" i="1" a="1"/>
  <c r="CB46" i="1" s="1"/>
  <c r="BH24" i="1" a="1"/>
  <c r="BH24" i="1" s="1"/>
  <c r="BH32" i="1" s="1"/>
  <c r="DM46" i="1" a="1"/>
  <c r="DM46" i="1" s="1"/>
  <c r="BU29" i="1" a="1"/>
  <c r="BU29" i="1" s="1"/>
  <c r="CF25" i="1" a="1"/>
  <c r="CF25" i="1" s="1"/>
  <c r="CF33" i="1" s="1"/>
  <c r="AE25" i="1" a="1"/>
  <c r="AE25" i="1" s="1"/>
  <c r="AE33" i="1" s="1"/>
  <c r="AJ49" i="1" a="1"/>
  <c r="AJ49" i="1" s="1"/>
  <c r="CY29" i="1" a="1"/>
  <c r="CY29" i="1" s="1"/>
  <c r="DA49" i="1" a="1"/>
  <c r="DA49" i="1" s="1"/>
  <c r="BZ49" i="1" a="1"/>
  <c r="BZ49" i="1" s="1"/>
  <c r="D49" i="1" a="1"/>
  <c r="D49" i="1" s="1"/>
  <c r="BB49" i="1" a="1"/>
  <c r="BB49" i="1" s="1"/>
  <c r="F25" i="1" a="1"/>
  <c r="F25" i="1" s="1"/>
  <c r="F33" i="1" s="1"/>
  <c r="DF49" i="1" a="1"/>
  <c r="DF49" i="1" s="1"/>
  <c r="K39" i="1" a="1"/>
  <c r="K39" i="1" s="1"/>
  <c r="C23" i="1" a="1"/>
  <c r="C23" i="1" s="1"/>
  <c r="AF29" i="1" a="1"/>
  <c r="AF29" i="1" s="1"/>
  <c r="K25" i="1" a="1"/>
  <c r="K25" i="1" s="1"/>
  <c r="K33" i="1" s="1"/>
  <c r="BQ23" i="1" a="1"/>
  <c r="BQ23" i="1" s="1"/>
  <c r="BQ31" i="1" s="1"/>
  <c r="BD23" i="1" a="1"/>
  <c r="BD23" i="1" s="1"/>
  <c r="BD31" i="1" s="1"/>
  <c r="J23" i="1" a="1"/>
  <c r="J23" i="1" s="1"/>
  <c r="J31" i="1" s="1"/>
  <c r="CS24" i="1" a="1"/>
  <c r="CS24" i="1" s="1"/>
  <c r="CS32" i="1" s="1"/>
  <c r="AU24" i="1" a="1"/>
  <c r="AU24" i="1" s="1"/>
  <c r="AU32" i="1" s="1"/>
  <c r="AS46" i="1" a="1"/>
  <c r="AS46" i="1" s="1"/>
  <c r="N30" i="1" a="1"/>
  <c r="N30" i="1" s="1"/>
  <c r="K29" i="1" a="1"/>
  <c r="K29" i="1" s="1"/>
  <c r="CA29" i="1" a="1"/>
  <c r="CA29" i="1" s="1"/>
  <c r="CF29" i="1" a="1"/>
  <c r="CF29" i="1" s="1"/>
  <c r="DK29" i="1" a="1"/>
  <c r="DK29" i="1" s="1"/>
  <c r="AR25" i="1" a="1"/>
  <c r="AR25" i="1" s="1"/>
  <c r="AR33" i="1" s="1"/>
  <c r="CJ30" i="1" a="1"/>
  <c r="CJ30" i="1" s="1"/>
  <c r="DC23" i="1" a="1"/>
  <c r="DC23" i="1" s="1"/>
  <c r="DC31" i="1" s="1"/>
  <c r="BF49" i="1" a="1"/>
  <c r="BF49" i="1" s="1"/>
  <c r="CI23" i="1" a="1"/>
  <c r="CI23" i="1" s="1"/>
  <c r="CI31" i="1" s="1"/>
  <c r="CS49" i="1" a="1"/>
  <c r="CS49" i="1" s="1"/>
  <c r="BB24" i="1" a="1"/>
  <c r="BB24" i="1" s="1"/>
  <c r="BB32" i="1" s="1"/>
  <c r="AP25" i="1" a="1"/>
  <c r="AP25" i="1" s="1"/>
  <c r="AP33" i="1" s="1"/>
  <c r="DR25" i="1" a="1"/>
  <c r="DR25" i="1" s="1"/>
  <c r="DR33" i="1" s="1"/>
  <c r="DB23" i="1" a="1"/>
  <c r="DB23" i="1" s="1"/>
  <c r="DB31" i="1" s="1"/>
  <c r="W25" i="1" a="1"/>
  <c r="W25" i="1" s="1"/>
  <c r="W33" i="1" s="1"/>
  <c r="BK23" i="1" a="1"/>
  <c r="BK23" i="1" s="1"/>
  <c r="BK31" i="1" s="1"/>
  <c r="Y24" i="1" a="1"/>
  <c r="Y24" i="1" s="1"/>
  <c r="Y32" i="1" s="1"/>
  <c r="AW49" i="1" a="1"/>
  <c r="AW49" i="1" s="1"/>
  <c r="DG46" i="1" a="1"/>
  <c r="DG46" i="1" s="1"/>
  <c r="BG49" i="1" a="1"/>
  <c r="BG49" i="1" s="1"/>
  <c r="DM29" i="1" a="1"/>
  <c r="DM29" i="1" s="1"/>
  <c r="W24" i="1" a="1"/>
  <c r="W24" i="1" s="1"/>
  <c r="W32" i="1" s="1"/>
  <c r="DR49" i="1" a="1"/>
  <c r="DR49" i="1" s="1"/>
  <c r="S24" i="1" a="1"/>
  <c r="S24" i="1" s="1"/>
  <c r="S32" i="1" s="1"/>
  <c r="DQ46" i="1" a="1"/>
  <c r="DQ46" i="1" s="1"/>
  <c r="BP24" i="1" a="1"/>
  <c r="BP24" i="1" s="1"/>
  <c r="BP32" i="1" s="1"/>
  <c r="CU25" i="1" a="1"/>
  <c r="CU25" i="1" s="1"/>
  <c r="CU33" i="1" s="1"/>
  <c r="Q23" i="1" a="1"/>
  <c r="Q23" i="1" s="1"/>
  <c r="Q31" i="1" s="1"/>
  <c r="AG24" i="1" a="1"/>
  <c r="AG24" i="1" s="1"/>
  <c r="AG32" i="1" s="1"/>
  <c r="BM30" i="1" a="1"/>
  <c r="BM30" i="1" s="1"/>
  <c r="CZ46" i="1" a="1"/>
  <c r="CZ46" i="1" s="1"/>
  <c r="CO49" i="1" a="1"/>
  <c r="CO49" i="1" s="1"/>
  <c r="AT49" i="1" a="1"/>
  <c r="AT49" i="1" s="1"/>
  <c r="CG23" i="1" a="1"/>
  <c r="CG23" i="1" s="1"/>
  <c r="CG31" i="1" s="1"/>
  <c r="CT49" i="1" a="1"/>
  <c r="CT49" i="1" s="1"/>
  <c r="AK46" i="1" a="1"/>
  <c r="AK46" i="1" s="1"/>
  <c r="BD49" i="1" a="1"/>
  <c r="BD49" i="1" s="1"/>
  <c r="CE23" i="1" a="1"/>
  <c r="CE23" i="1" s="1"/>
  <c r="CE31" i="1" s="1"/>
  <c r="CC49" i="1" a="1"/>
  <c r="CC49" i="1" s="1"/>
  <c r="AA30" i="1" a="1"/>
  <c r="AA30" i="1" s="1"/>
  <c r="AD24" i="1" a="1"/>
  <c r="AD24" i="1" s="1"/>
  <c r="AD32" i="1" s="1"/>
  <c r="CX24" i="1" a="1"/>
  <c r="CX24" i="1" s="1"/>
  <c r="CX32" i="1" s="1"/>
  <c r="BH49" i="1" a="1"/>
  <c r="BH49" i="1" s="1"/>
  <c r="AD46" i="1" a="1"/>
  <c r="AD46" i="1" s="1"/>
  <c r="BN25" i="1" a="1"/>
  <c r="BN25" i="1" s="1"/>
  <c r="BN33" i="1" s="1"/>
  <c r="BK46" i="1" a="1"/>
  <c r="BK46" i="1" s="1"/>
  <c r="BF24" i="1" a="1"/>
  <c r="BF24" i="1" s="1"/>
  <c r="BF32" i="1" s="1"/>
  <c r="BE23" i="1" a="1"/>
  <c r="BE23" i="1" s="1"/>
  <c r="BE31" i="1" s="1"/>
  <c r="DH23" i="1" a="1"/>
  <c r="DH23" i="1" s="1"/>
  <c r="DH31" i="1" s="1"/>
  <c r="BC23" i="1" a="1"/>
  <c r="BC23" i="1" s="1"/>
  <c r="BC31" i="1" s="1"/>
  <c r="CH30" i="1" a="1"/>
  <c r="CH30" i="1" s="1"/>
  <c r="BS46" i="1" a="1"/>
  <c r="BS46" i="1" s="1"/>
  <c r="I24" i="1" a="1"/>
  <c r="I24" i="1" s="1"/>
  <c r="I32" i="1" s="1"/>
  <c r="E46" i="1" a="1"/>
  <c r="E46" i="1" s="1"/>
  <c r="BJ24" i="1" a="1"/>
  <c r="BJ24" i="1" s="1"/>
  <c r="BJ32" i="1" s="1"/>
  <c r="I23" i="1" a="1"/>
  <c r="I23" i="1" s="1"/>
  <c r="I31" i="1" s="1"/>
  <c r="CQ25" i="1" a="1"/>
  <c r="CQ25" i="1" s="1"/>
  <c r="CQ33" i="1" s="1"/>
  <c r="CG49" i="1" a="1"/>
  <c r="CG49" i="1" s="1"/>
  <c r="AW46" i="1" a="1"/>
  <c r="AW46" i="1" s="1"/>
  <c r="AN49" i="1" a="1"/>
  <c r="AN49" i="1" s="1"/>
  <c r="AR29" i="1" a="1"/>
  <c r="AR29" i="1" s="1"/>
  <c r="BE25" i="1" a="1"/>
  <c r="BE25" i="1" s="1"/>
  <c r="BE33" i="1" s="1"/>
  <c r="L24" i="1" a="1"/>
  <c r="L24" i="1" s="1"/>
  <c r="L32" i="1" s="1"/>
  <c r="DN24" i="1" a="1"/>
  <c r="DN24" i="1" s="1"/>
  <c r="DN32" i="1" s="1"/>
  <c r="BB25" i="1" a="1"/>
  <c r="BB25" i="1" s="1"/>
  <c r="BB33" i="1" s="1"/>
  <c r="CM49" i="1" a="1"/>
  <c r="CM49" i="1" s="1"/>
  <c r="DI30" i="1" a="1"/>
  <c r="DI30" i="1" s="1"/>
  <c r="I29" i="1" a="1"/>
  <c r="I29" i="1" s="1"/>
  <c r="CZ23" i="1" a="1"/>
  <c r="CZ23" i="1" s="1"/>
  <c r="CZ31" i="1" s="1"/>
  <c r="AL46" i="1" a="1"/>
  <c r="AL46" i="1" s="1"/>
  <c r="DJ25" i="1" a="1"/>
  <c r="DJ25" i="1" s="1"/>
  <c r="DJ33" i="1" s="1"/>
  <c r="AI25" i="1" a="1"/>
  <c r="AI25" i="1" s="1"/>
  <c r="AI33" i="1" s="1"/>
  <c r="DE24" i="1" a="1"/>
  <c r="DE24" i="1" s="1"/>
  <c r="DE32" i="1" s="1"/>
  <c r="AS23" i="1" a="1"/>
  <c r="AS23" i="1" s="1"/>
  <c r="AS31" i="1" s="1"/>
  <c r="CI30" i="1" a="1"/>
  <c r="CI30" i="1" s="1"/>
  <c r="S46" i="1" a="1"/>
  <c r="S46" i="1" s="1"/>
  <c r="DG49" i="1" a="1"/>
  <c r="DG49" i="1" s="1"/>
  <c r="AM29" i="1" a="1"/>
  <c r="AM29" i="1" s="1"/>
  <c r="AZ29" i="1" a="1"/>
  <c r="AZ29" i="1" s="1"/>
  <c r="AS25" i="1" a="1"/>
  <c r="AS25" i="1" s="1"/>
  <c r="AS33" i="1" s="1"/>
  <c r="AY23" i="1" a="1"/>
  <c r="AY23" i="1" s="1"/>
  <c r="AY31" i="1" s="1"/>
  <c r="R29" i="1" a="1"/>
  <c r="R29" i="1" s="1"/>
  <c r="T29" i="1" a="1"/>
  <c r="T29" i="1" s="1"/>
  <c r="AA29" i="1" a="1"/>
  <c r="AA29" i="1" s="1"/>
  <c r="CP29" i="1" a="1"/>
  <c r="CP29" i="1" s="1"/>
  <c r="Z30" i="1" a="1"/>
  <c r="Z30" i="1" s="1"/>
  <c r="AG25" i="1" a="1"/>
  <c r="AG25" i="1" s="1"/>
  <c r="AG33" i="1" s="1"/>
  <c r="CS30" i="1" a="1"/>
  <c r="CS30" i="1" s="1"/>
  <c r="CS23" i="1" a="1"/>
  <c r="CS23" i="1" s="1"/>
  <c r="CS31" i="1" s="1"/>
  <c r="CI49" i="1" a="1"/>
  <c r="CI49" i="1" s="1"/>
  <c r="BX23" i="1" a="1"/>
  <c r="BX23" i="1" s="1"/>
  <c r="BX31" i="1" s="1"/>
  <c r="DM49" i="1" a="1"/>
  <c r="DM49" i="1" s="1"/>
  <c r="AR24" i="1" a="1"/>
  <c r="AR24" i="1" s="1"/>
  <c r="AR32" i="1" s="1"/>
  <c r="Y25" i="1" a="1"/>
  <c r="Y25" i="1" s="1"/>
  <c r="Y33" i="1" s="1"/>
  <c r="CJ25" i="1" a="1"/>
  <c r="CJ25" i="1" s="1"/>
  <c r="CJ33" i="1" s="1"/>
  <c r="CP23" i="1" a="1"/>
  <c r="CP23" i="1" s="1"/>
  <c r="CP31" i="1" s="1"/>
  <c r="I25" i="1" a="1"/>
  <c r="I25" i="1" s="1"/>
  <c r="I33" i="1" s="1"/>
  <c r="AR23" i="1" a="1"/>
  <c r="AR23" i="1" s="1"/>
  <c r="AR31" i="1" s="1"/>
  <c r="G24" i="1" a="1"/>
  <c r="G24" i="1" s="1"/>
  <c r="G32" i="1" s="1"/>
  <c r="BM49" i="1" a="1"/>
  <c r="BM49" i="1" s="1"/>
  <c r="DO46" i="1" a="1"/>
  <c r="DO46" i="1" s="1"/>
  <c r="BO49" i="1" a="1"/>
  <c r="BO49" i="1" s="1"/>
  <c r="BB30" i="1" a="1"/>
  <c r="BB30" i="1" s="1"/>
  <c r="CL23" i="1" a="1"/>
  <c r="CL23" i="1" s="1"/>
  <c r="CL31" i="1" s="1"/>
  <c r="F24" i="1" a="1"/>
  <c r="F24" i="1" s="1"/>
  <c r="F32" i="1" s="1"/>
  <c r="N29" i="1" a="1"/>
  <c r="N29" i="1" s="1"/>
  <c r="AL24" i="1" a="1"/>
  <c r="AL24" i="1" s="1"/>
  <c r="AL32" i="1" s="1"/>
  <c r="AT25" i="1" a="1"/>
  <c r="AT25" i="1" s="1"/>
  <c r="AT33" i="1" s="1"/>
  <c r="E23" i="1" a="1"/>
  <c r="E23" i="1" s="1"/>
  <c r="E31" i="1" s="1"/>
  <c r="P24" i="1" a="1"/>
  <c r="P24" i="1" s="1"/>
  <c r="P32" i="1" s="1"/>
  <c r="DM25" i="1" a="1"/>
  <c r="DM25" i="1" s="1"/>
  <c r="DM33" i="1" s="1"/>
  <c r="S49" i="1" a="1"/>
  <c r="S49" i="1" s="1"/>
  <c r="DH49" i="1" a="1"/>
  <c r="DH49" i="1" s="1"/>
  <c r="BR49" i="1" a="1"/>
  <c r="BR49" i="1" s="1"/>
  <c r="N23" i="1" a="1"/>
  <c r="N23" i="1" s="1"/>
  <c r="N31" i="1" s="1"/>
  <c r="BQ29" i="1" a="1"/>
  <c r="BQ29" i="1" s="1"/>
  <c r="BL46" i="1" a="1"/>
  <c r="BL46" i="1" s="1"/>
  <c r="CQ49" i="1" a="1"/>
  <c r="CQ49" i="1" s="1"/>
  <c r="DD29" i="1" a="1"/>
  <c r="DD29" i="1" s="1"/>
  <c r="K46" i="1" a="1"/>
  <c r="K46" i="1" s="1"/>
  <c r="BS49" i="1" a="1"/>
  <c r="BS49" i="1" s="1"/>
  <c r="AD49" i="1" a="1"/>
  <c r="AD49" i="1" s="1"/>
  <c r="BE24" i="1" a="1"/>
  <c r="BE24" i="1" s="1"/>
  <c r="BE32" i="1" s="1"/>
  <c r="O49" i="1" a="1"/>
  <c r="O49" i="1" s="1"/>
  <c r="BL49" i="1" a="1"/>
  <c r="BL49" i="1" s="1"/>
  <c r="R46" i="1" a="1"/>
  <c r="R46" i="1" s="1"/>
  <c r="CN23" i="1" a="1"/>
  <c r="CN23" i="1" s="1"/>
  <c r="CN31" i="1" s="1"/>
  <c r="DE49" i="1" a="1"/>
  <c r="DE49" i="1" s="1"/>
  <c r="AN23" i="1" a="1"/>
  <c r="AN23" i="1" s="1"/>
  <c r="AN31" i="1" s="1"/>
  <c r="DP49" i="1" a="1"/>
  <c r="DP49" i="1" s="1"/>
  <c r="DF30" i="1" a="1"/>
  <c r="DF30" i="1" s="1"/>
  <c r="AM23" i="1" a="1"/>
  <c r="AM23" i="1" s="1"/>
  <c r="AM31" i="1" s="1"/>
  <c r="AD29" i="1" a="1"/>
  <c r="AD29" i="1" s="1"/>
  <c r="AK29" i="1" a="1"/>
  <c r="AK29" i="1" s="1"/>
  <c r="DH30" i="1" a="1"/>
  <c r="DH30" i="1" s="1"/>
  <c r="BE29" i="1" a="1"/>
  <c r="BE29" i="1" s="1"/>
  <c r="AI29" i="1" a="1"/>
  <c r="AI29" i="1" s="1"/>
  <c r="BM29" i="1" a="1"/>
  <c r="BM29" i="1" s="1"/>
  <c r="DK49" i="1" a="1"/>
  <c r="DK49" i="1" s="1"/>
  <c r="Y29" i="1" a="1"/>
  <c r="Y29" i="1" s="1"/>
  <c r="L29" i="1" a="1"/>
  <c r="L29" i="1" s="1"/>
  <c r="AJ29" i="1" a="1"/>
  <c r="AJ29" i="1" s="1"/>
  <c r="P29" i="1" a="1"/>
  <c r="P29" i="1" s="1"/>
  <c r="BP25" i="1" a="1"/>
  <c r="BP25" i="1" s="1"/>
  <c r="BP33" i="1" s="1"/>
  <c r="U25" i="1" a="1"/>
  <c r="U25" i="1" s="1"/>
  <c r="U33" i="1" s="1"/>
  <c r="DA30" i="1" a="1"/>
  <c r="DA30" i="1" s="1"/>
  <c r="BZ23" i="1" a="1"/>
  <c r="BZ23" i="1" s="1"/>
  <c r="BZ31" i="1" s="1"/>
  <c r="AG29" i="1" a="1"/>
  <c r="AG29" i="1" s="1"/>
  <c r="BN23" i="1" a="1"/>
  <c r="BN23" i="1" s="1"/>
  <c r="BN31" i="1" s="1"/>
  <c r="L30" i="1" a="1"/>
  <c r="L30" i="1" s="1"/>
  <c r="AH24" i="1" a="1"/>
  <c r="AH24" i="1" s="1"/>
  <c r="AH32" i="1" s="1"/>
  <c r="L25" i="1" a="1"/>
  <c r="L25" i="1" s="1"/>
  <c r="L33" i="1" s="1"/>
  <c r="BR25" i="1" a="1"/>
  <c r="BR25" i="1" s="1"/>
  <c r="BR33" i="1" s="1"/>
  <c r="AQ29" i="1" a="1"/>
  <c r="AQ29" i="1" s="1"/>
  <c r="DL24" i="1" a="1"/>
  <c r="DL24" i="1" s="1"/>
  <c r="DL32" i="1" s="1"/>
  <c r="AG23" i="1" a="1"/>
  <c r="AG23" i="1" s="1"/>
  <c r="AG31" i="1" s="1"/>
  <c r="V23" i="1" a="1"/>
  <c r="V23" i="1" s="1"/>
  <c r="V31" i="1" s="1"/>
  <c r="BV49" i="1" a="1"/>
  <c r="BV49" i="1" s="1"/>
  <c r="Z49" i="1" a="1"/>
  <c r="Z49" i="1" s="1"/>
  <c r="CN49" i="1" a="1"/>
  <c r="CN49" i="1" s="1"/>
  <c r="BV30" i="1" a="1"/>
  <c r="BV30" i="1" s="1"/>
  <c r="BY23" i="1" a="1"/>
  <c r="BY23" i="1" s="1"/>
  <c r="BY31" i="1" s="1"/>
  <c r="AA49" i="1" a="1"/>
  <c r="AA49" i="1" s="1"/>
  <c r="BW23" i="1" a="1"/>
  <c r="BW23" i="1" s="1"/>
  <c r="BW31" i="1" s="1"/>
  <c r="BN29" i="1" a="1"/>
  <c r="BN29" i="1" s="1"/>
  <c r="R24" i="1" a="1"/>
  <c r="R24" i="1" s="1"/>
  <c r="R32" i="1" s="1"/>
  <c r="DK24" i="1" a="1"/>
  <c r="DK24" i="1" s="1"/>
  <c r="DK32" i="1" s="1"/>
  <c r="AE29" i="1" a="1"/>
  <c r="AE29" i="1" s="1"/>
  <c r="DP23" i="1" a="1"/>
  <c r="DP23" i="1" s="1"/>
  <c r="DP31" i="1" s="1"/>
  <c r="DI24" i="1" a="1"/>
  <c r="DI24" i="1" s="1"/>
  <c r="DI32" i="1" s="1"/>
  <c r="AR49" i="1" a="1"/>
  <c r="AR49" i="1" s="1"/>
  <c r="J46" i="1" a="1"/>
  <c r="J46" i="1" s="1"/>
  <c r="CZ49" i="1" a="1"/>
  <c r="CZ49" i="1" s="1"/>
  <c r="AT46" i="1" a="1"/>
  <c r="AT46" i="1" s="1"/>
  <c r="BN30" i="1" a="1"/>
  <c r="BN30" i="1" s="1"/>
  <c r="CA46" i="1" a="1"/>
  <c r="CA46" i="1" s="1"/>
  <c r="Q25" i="1" a="1"/>
  <c r="Q25" i="1" s="1"/>
  <c r="Q33" i="1" s="1"/>
  <c r="CS25" i="1" a="1"/>
  <c r="CS25" i="1" s="1"/>
  <c r="CS33" i="1" s="1"/>
  <c r="BC46" i="1" a="1"/>
  <c r="BC46" i="1" s="1"/>
  <c r="CD30" i="1" a="1"/>
  <c r="CD30" i="1" s="1"/>
  <c r="K30" i="1" a="1"/>
  <c r="K30" i="1" s="1"/>
  <c r="CN25" i="1" a="1"/>
  <c r="CN25" i="1" s="1"/>
  <c r="CN33" i="1" s="1"/>
  <c r="DR30" i="1" a="1"/>
  <c r="DR30" i="1" s="1"/>
  <c r="AZ30" i="1" a="1"/>
  <c r="AZ30" i="1" s="1"/>
  <c r="DI23" i="1" a="1"/>
  <c r="DI23" i="1" s="1"/>
  <c r="DI31" i="1" s="1"/>
  <c r="P25" i="1" a="1"/>
  <c r="P25" i="1" s="1"/>
  <c r="P33" i="1" s="1"/>
  <c r="BI46" i="1" a="1"/>
  <c r="BI46" i="1" s="1"/>
  <c r="DD24" i="1" a="1"/>
  <c r="DD24" i="1" s="1"/>
  <c r="DD32" i="1" s="1"/>
  <c r="BG46" i="1" a="1"/>
  <c r="BG46" i="1" s="1"/>
  <c r="CL25" i="1" a="1"/>
  <c r="CL25" i="1" s="1"/>
  <c r="CL33" i="1" s="1"/>
  <c r="DH29" i="1" a="1"/>
  <c r="DH29" i="1" s="1"/>
  <c r="BF30" i="1" a="1"/>
  <c r="BF30" i="1" s="1"/>
  <c r="BU24" i="1" a="1"/>
  <c r="BU24" i="1" s="1"/>
  <c r="BU32" i="1" s="1"/>
  <c r="DD30" i="1" a="1"/>
  <c r="DD30" i="1" s="1"/>
  <c r="DN23" i="1" a="1"/>
  <c r="DN23" i="1" s="1"/>
  <c r="DN31" i="1" s="1"/>
  <c r="AZ25" i="1" a="1"/>
  <c r="AZ25" i="1" s="1"/>
  <c r="AZ33" i="1" s="1"/>
  <c r="CO46" i="1" a="1"/>
  <c r="CO46" i="1" s="1"/>
  <c r="AF46" i="1" a="1"/>
  <c r="AF46" i="1" s="1"/>
  <c r="CH46" i="1" a="1"/>
  <c r="CH46" i="1" s="1"/>
  <c r="AY49" i="1" a="1"/>
  <c r="AY49" i="1" s="1"/>
  <c r="CF24" i="1" a="1"/>
  <c r="CF24" i="1" s="1"/>
  <c r="CF32" i="1" s="1"/>
  <c r="AH49" i="1" a="1"/>
  <c r="AH49" i="1" s="1"/>
  <c r="DR24" i="1" a="1"/>
  <c r="DR24" i="1" s="1"/>
  <c r="DR32" i="1" s="1"/>
  <c r="BW49" i="1" a="1"/>
  <c r="BW49" i="1" s="1"/>
  <c r="BX25" i="1" a="1"/>
  <c r="BX25" i="1" s="1"/>
  <c r="BX41" i="1" s="1" a="1"/>
  <c r="BX41" i="1" s="1"/>
  <c r="BO29" i="1" a="1"/>
  <c r="BO29" i="1" s="1"/>
  <c r="CY23" i="1" a="1"/>
  <c r="CY23" i="1" s="1"/>
  <c r="CY31" i="1" s="1"/>
  <c r="DJ24" i="1" a="1"/>
  <c r="DJ24" i="1" s="1"/>
  <c r="DJ32" i="1" s="1"/>
  <c r="CE25" i="1" a="1"/>
  <c r="CE25" i="1" s="1"/>
  <c r="CE33" i="1" s="1"/>
  <c r="I46" i="1" a="1"/>
  <c r="I46" i="1" s="1"/>
  <c r="F49" i="1" a="1"/>
  <c r="F49" i="1" s="1"/>
  <c r="DI49" i="1" a="1"/>
  <c r="DI49" i="1" s="1"/>
  <c r="AP23" i="1" a="1"/>
  <c r="AP23" i="1" s="1"/>
  <c r="AP31" i="1" s="1"/>
  <c r="BF23" i="1" a="1"/>
  <c r="BF23" i="1" s="1"/>
  <c r="BF31" i="1" s="1"/>
  <c r="BT23" i="1" a="1"/>
  <c r="BT23" i="1" s="1"/>
  <c r="BT31" i="1" s="1"/>
  <c r="CP49" i="1" a="1"/>
  <c r="CP49" i="1" s="1"/>
  <c r="CF46" i="1" a="1"/>
  <c r="CF46" i="1" s="1"/>
  <c r="BS23" i="1" a="1"/>
  <c r="BS23" i="1" s="1"/>
  <c r="BS31" i="1" s="1"/>
  <c r="BU49" i="1" a="1"/>
  <c r="BU49" i="1" s="1"/>
  <c r="DR46" i="1" a="1"/>
  <c r="DR46" i="1" s="1"/>
  <c r="CY25" i="1" a="1"/>
  <c r="CY25" i="1" s="1"/>
  <c r="CY33" i="1" s="1"/>
  <c r="D24" i="1" a="1"/>
  <c r="D24" i="1" s="1"/>
  <c r="D32" i="1" s="1"/>
  <c r="DQ24" i="1" a="1"/>
  <c r="DQ24" i="1" s="1"/>
  <c r="DQ32" i="1" s="1"/>
  <c r="DE23" i="1" a="1"/>
  <c r="DE23" i="1" s="1"/>
  <c r="DE31" i="1" s="1"/>
  <c r="DA24" i="1" a="1"/>
  <c r="DA24" i="1" s="1"/>
  <c r="DA32" i="1" s="1"/>
  <c r="CO23" i="1" a="1"/>
  <c r="CO23" i="1" s="1"/>
  <c r="CO31" i="1" s="1"/>
  <c r="DJ49" i="1" a="1"/>
  <c r="DJ49" i="1" s="1"/>
  <c r="AQ49" i="1" a="1"/>
  <c r="AQ49" i="1" s="1"/>
  <c r="DJ30" i="1" a="1"/>
  <c r="DJ30" i="1" s="1"/>
  <c r="CT30" i="1" a="1"/>
  <c r="CT30" i="1" s="1"/>
  <c r="CJ23" i="1" a="1"/>
  <c r="CJ23" i="1" s="1"/>
  <c r="CJ31" i="1" s="1"/>
  <c r="CW23" i="1" a="1"/>
  <c r="CW23" i="1" s="1"/>
  <c r="CW31" i="1" s="1"/>
  <c r="CY49" i="1" a="1"/>
  <c r="CY49" i="1" s="1"/>
  <c r="AJ25" i="1" a="1"/>
  <c r="AJ25" i="1" s="1"/>
  <c r="AJ33" i="1" s="1"/>
  <c r="DK23" i="1" a="1"/>
  <c r="DK23" i="1" s="1"/>
  <c r="DK31" i="1" s="1"/>
  <c r="AB24" i="1" a="1"/>
  <c r="AB24" i="1" s="1"/>
  <c r="AB32" i="1" s="1"/>
  <c r="W23" i="1" a="1"/>
  <c r="W23" i="1" s="1"/>
  <c r="W31" i="1" s="1"/>
  <c r="CH25" i="1" a="1"/>
  <c r="CH25" i="1" s="1"/>
  <c r="CH33" i="1" s="1"/>
  <c r="CJ49" i="1" a="1"/>
  <c r="CJ49" i="1" s="1"/>
  <c r="G25" i="1" a="1"/>
  <c r="G25" i="1" s="1"/>
  <c r="G33" i="1" s="1"/>
  <c r="CW25" i="1" a="1"/>
  <c r="CW25" i="1" s="1"/>
  <c r="CW33" i="1" s="1"/>
  <c r="CV25" i="1" a="1"/>
  <c r="CV25" i="1" s="1"/>
  <c r="CV33" i="1" s="1"/>
  <c r="CW30" i="1" a="1"/>
  <c r="CW30" i="1" s="1"/>
  <c r="CB23" i="1" a="1"/>
  <c r="CB23" i="1" s="1"/>
  <c r="CB31" i="1" s="1"/>
  <c r="BR23" i="1" a="1"/>
  <c r="BR23" i="1" s="1"/>
  <c r="BR31" i="1" s="1"/>
  <c r="DH24" i="1" a="1"/>
  <c r="DH24" i="1" s="1"/>
  <c r="DH32" i="1" s="1"/>
  <c r="BL23" i="1" a="1"/>
  <c r="BL23" i="1" s="1"/>
  <c r="BL31" i="1" s="1"/>
  <c r="O46" i="1" a="1"/>
  <c r="O46" i="1" s="1"/>
  <c r="AD25" i="1" a="1"/>
  <c r="AD25" i="1" s="1"/>
  <c r="AD33" i="1" s="1"/>
  <c r="CK49" i="1" a="1"/>
  <c r="CK49" i="1" s="1"/>
  <c r="AC23" i="1" a="1"/>
  <c r="AC23" i="1" s="1"/>
  <c r="AC31" i="1" s="1"/>
  <c r="BZ24" i="1" a="1"/>
  <c r="BZ24" i="1" s="1"/>
  <c r="BZ32" i="1" s="1"/>
  <c r="CQ23" i="1" a="1"/>
  <c r="CQ23" i="1" s="1"/>
  <c r="CQ31" i="1" s="1"/>
  <c r="AR46" i="1" a="1"/>
  <c r="AR46" i="1" s="1"/>
  <c r="DP25" i="1" a="1"/>
  <c r="DP25" i="1" s="1"/>
  <c r="DP33" i="1" s="1"/>
  <c r="DL29" i="1" a="1"/>
  <c r="DL29" i="1" s="1"/>
  <c r="BX46" i="1" a="1"/>
  <c r="BX46" i="1" s="1"/>
  <c r="AV25" i="1" a="1"/>
  <c r="AV25" i="1" s="1"/>
  <c r="AV33" i="1" s="1"/>
  <c r="CT25" i="1" a="1"/>
  <c r="CT25" i="1" s="1"/>
  <c r="CT33" i="1" s="1"/>
  <c r="X46" i="1" a="1"/>
  <c r="X46" i="1" s="1"/>
  <c r="AT24" i="1" a="1"/>
  <c r="AT24" i="1" s="1"/>
  <c r="AT32" i="1" s="1"/>
  <c r="BR46" i="1" a="1"/>
  <c r="BR46" i="1" s="1"/>
  <c r="CV46" i="1" a="1"/>
  <c r="CV46" i="1" s="1"/>
  <c r="BD46" i="1" a="1"/>
  <c r="BD46" i="1" s="1"/>
  <c r="DN25" i="1" a="1"/>
  <c r="DN25" i="1" s="1"/>
  <c r="DN33" i="1" s="1"/>
  <c r="CK30" i="1" a="1"/>
  <c r="CK30" i="1" s="1"/>
  <c r="BI30" i="1" a="1"/>
  <c r="BI30" i="1" s="1"/>
  <c r="DS24" i="1" a="1"/>
  <c r="DS24" i="1" s="1"/>
  <c r="DS32" i="1" s="1"/>
  <c r="CP24" i="1" a="1"/>
  <c r="CP24" i="1" s="1"/>
  <c r="CP32" i="1" s="1"/>
  <c r="N24" i="1" a="1"/>
  <c r="N24" i="1" s="1"/>
  <c r="N32" i="1" s="1"/>
  <c r="BP23" i="1" a="1"/>
  <c r="BP23" i="1" s="1"/>
  <c r="BP31" i="1" s="1"/>
  <c r="BL25" i="1" a="1"/>
  <c r="BL25" i="1" s="1"/>
  <c r="BL33" i="1" s="1"/>
  <c r="AH25" i="1" a="1"/>
  <c r="AH25" i="1" s="1"/>
  <c r="AH33" i="1" s="1"/>
  <c r="CG30" i="1" a="1"/>
  <c r="CG30" i="1" s="1"/>
  <c r="CM41" i="1" a="1"/>
  <c r="CM41" i="1" s="1"/>
  <c r="BR24" i="1" a="1"/>
  <c r="BR24" i="1" s="1"/>
  <c r="BR32" i="1" s="1"/>
  <c r="R23" i="1" a="1"/>
  <c r="R23" i="1" s="1"/>
  <c r="R31" i="1" s="1"/>
  <c r="BA46" i="1" a="1"/>
  <c r="BA46" i="1" s="1"/>
  <c r="P46" i="1" a="1"/>
  <c r="P46" i="1" s="1"/>
  <c r="DE30" i="1" a="1"/>
  <c r="DE30" i="1" s="1"/>
  <c r="BK29" i="1" a="1"/>
  <c r="BK29" i="1" s="1"/>
  <c r="CS29" i="1" a="1"/>
  <c r="CS29" i="1" s="1"/>
  <c r="DO30" i="1" a="1"/>
  <c r="DO30" i="1" s="1"/>
  <c r="AK23" i="1" a="1"/>
  <c r="AK23" i="1" s="1"/>
  <c r="AK31" i="1" s="1"/>
  <c r="DL46" i="1" a="1"/>
  <c r="DL46" i="1" s="1"/>
  <c r="AZ23" i="1" a="1"/>
  <c r="AZ23" i="1" s="1"/>
  <c r="AZ31" i="1" s="1"/>
  <c r="DO49" i="1" a="1"/>
  <c r="DO49" i="1" s="1"/>
  <c r="BS29" i="1" a="1"/>
  <c r="BS29" i="1" s="1"/>
  <c r="BB46" i="1" a="1"/>
  <c r="BB46" i="1" s="1"/>
  <c r="CD24" i="1" a="1"/>
  <c r="CD24" i="1" s="1"/>
  <c r="CD32" i="1" s="1"/>
  <c r="T23" i="1" a="1"/>
  <c r="T23" i="1" s="1"/>
  <c r="T31" i="1" s="1"/>
  <c r="T49" i="1" a="1"/>
  <c r="T49" i="1" s="1"/>
  <c r="BH25" i="1" a="1"/>
  <c r="BH25" i="1" s="1"/>
  <c r="BH33" i="1" s="1"/>
  <c r="C49" i="1" a="1"/>
  <c r="C49" i="1" s="1"/>
  <c r="BP46" i="1" a="1"/>
  <c r="BP46" i="1" s="1"/>
  <c r="BK24" i="1" a="1"/>
  <c r="BK24" i="1" s="1"/>
  <c r="BK32" i="1" s="1"/>
  <c r="D39" i="1" a="1"/>
  <c r="D39" i="1" s="1"/>
  <c r="DI25" i="1" a="1"/>
  <c r="DI25" i="1" s="1"/>
  <c r="DI33" i="1" s="1"/>
  <c r="DS49" i="1" a="1"/>
  <c r="DS49" i="1" s="1"/>
  <c r="AP30" i="1" a="1"/>
  <c r="AP30" i="1" s="1"/>
  <c r="DK46" i="1" a="1"/>
  <c r="DK46" i="1" s="1"/>
  <c r="CD25" i="1" a="1"/>
  <c r="CD25" i="1" s="1"/>
  <c r="CD33" i="1" s="1"/>
  <c r="J29" i="1" a="1"/>
  <c r="J29" i="1" s="1"/>
  <c r="CR24" i="1" a="1"/>
  <c r="CR24" i="1" s="1"/>
  <c r="CR32" i="1" s="1"/>
  <c r="AP29" i="1" a="1"/>
  <c r="AP29" i="1" s="1"/>
  <c r="CE24" i="1" a="1"/>
  <c r="CE24" i="1" s="1"/>
  <c r="CE32" i="1" s="1"/>
  <c r="G29" i="1" a="1"/>
  <c r="G29" i="1" s="1"/>
  <c r="DQ49" i="1" a="1"/>
  <c r="DQ49" i="1" s="1"/>
  <c r="BX49" i="1" a="1"/>
  <c r="BX49" i="1" s="1"/>
  <c r="K24" i="1" a="1"/>
  <c r="K24" i="1" s="1"/>
  <c r="K32" i="1" s="1"/>
  <c r="BU46" i="1" a="1"/>
  <c r="BU46" i="1" s="1"/>
  <c r="CC46" i="1" a="1"/>
  <c r="CC46" i="1" s="1"/>
  <c r="AL49" i="1" a="1"/>
  <c r="AL49" i="1" s="1"/>
  <c r="BV46" i="1" a="1"/>
  <c r="BV46" i="1" s="1"/>
  <c r="AY25" i="1" a="1"/>
  <c r="AY25" i="1" s="1"/>
  <c r="AY33" i="1" s="1"/>
  <c r="CK23" i="1" a="1"/>
  <c r="CK23" i="1" s="1"/>
  <c r="CK31" i="1" s="1"/>
  <c r="CE49" i="1" a="1"/>
  <c r="CE49" i="1" s="1"/>
  <c r="CM23" i="1" a="1"/>
  <c r="CM23" i="1" s="1"/>
  <c r="CM31" i="1" s="1"/>
  <c r="AQ46" i="1" a="1"/>
  <c r="AQ46" i="1" s="1"/>
  <c r="D25" i="1" a="1"/>
  <c r="D25" i="1" s="1"/>
  <c r="D33" i="1" s="1"/>
  <c r="CX49" i="1" a="1"/>
  <c r="CX49" i="1" s="1"/>
  <c r="V46" i="1" a="1"/>
  <c r="V46" i="1" s="1"/>
  <c r="CU23" i="1" a="1"/>
  <c r="CU23" i="1" s="1"/>
  <c r="CU31" i="1" s="1"/>
  <c r="CJ24" i="1" a="1"/>
  <c r="CJ24" i="1" s="1"/>
  <c r="CJ32" i="1" s="1"/>
  <c r="T30" i="1" a="1"/>
  <c r="T30" i="1" s="1"/>
  <c r="AD30" i="1" a="1"/>
  <c r="AD30" i="1" s="1"/>
  <c r="BW30" i="1" a="1"/>
  <c r="BW30" i="1" s="1"/>
  <c r="AW25" i="1" a="1"/>
  <c r="AW25" i="1" s="1"/>
  <c r="AW33" i="1" s="1"/>
  <c r="AJ23" i="1" a="1"/>
  <c r="AJ23" i="1" s="1"/>
  <c r="AJ31" i="1" s="1"/>
  <c r="BF29" i="1" a="1"/>
  <c r="BF29" i="1" s="1"/>
  <c r="AZ24" i="1" a="1"/>
  <c r="AZ24" i="1" s="1"/>
  <c r="AZ32" i="1" s="1"/>
  <c r="BA30" i="1" a="1"/>
  <c r="BA30" i="1" s="1"/>
  <c r="U46" i="1" a="1"/>
  <c r="U46" i="1" s="1"/>
  <c r="DG25" i="1" a="1"/>
  <c r="DG25" i="1" s="1"/>
  <c r="DG33" i="1" s="1"/>
  <c r="BY25" i="1" a="1"/>
  <c r="BY25" i="1" s="1"/>
  <c r="BY33" i="1" s="1"/>
  <c r="AU25" i="1" a="1"/>
  <c r="AU25" i="1" s="1"/>
  <c r="AU33" i="1" s="1"/>
  <c r="DQ30" i="1" a="1"/>
  <c r="DQ30" i="1" s="1"/>
  <c r="AO24" i="1" a="1"/>
  <c r="AO24" i="1" s="1"/>
  <c r="AO32" i="1" s="1"/>
  <c r="DH25" i="1" a="1"/>
  <c r="DH25" i="1" s="1"/>
  <c r="DH33" i="1" s="1"/>
  <c r="DL49" i="1" a="1"/>
  <c r="DL49" i="1" s="1"/>
  <c r="E25" i="1" a="1"/>
  <c r="E25" i="1" s="1"/>
  <c r="E33" i="1" s="1"/>
  <c r="BO23" i="1" a="1"/>
  <c r="BO23" i="1" s="1"/>
  <c r="BO31" i="1" s="1"/>
  <c r="DD46" i="1" a="1"/>
  <c r="DD46" i="1" s="1"/>
  <c r="BO46" i="1" a="1"/>
  <c r="BO46" i="1" s="1"/>
  <c r="S23" i="1" a="1"/>
  <c r="S23" i="1" s="1"/>
  <c r="S31" i="1" s="1"/>
  <c r="V25" i="1" a="1"/>
  <c r="V25" i="1" s="1"/>
  <c r="V33" i="1" s="1"/>
  <c r="DI29" i="1" a="1"/>
  <c r="DI29" i="1" s="1"/>
  <c r="CL30" i="1" a="1"/>
  <c r="CL30" i="1" s="1"/>
  <c r="AU46" i="1" a="1"/>
  <c r="AU46" i="1" s="1"/>
  <c r="AR30" i="1" a="1"/>
  <c r="AR30" i="1" s="1"/>
  <c r="BO24" i="1" a="1"/>
  <c r="BO24" i="1" s="1"/>
  <c r="BO32" i="1" s="1"/>
  <c r="BM25" i="1" a="1"/>
  <c r="BM25" i="1" s="1"/>
  <c r="BM33" i="1" s="1"/>
  <c r="DI46" i="1" a="1"/>
  <c r="DI46" i="1" s="1"/>
  <c r="CD23" i="1" a="1"/>
  <c r="CD23" i="1" s="1"/>
  <c r="CD31" i="1" s="1"/>
  <c r="AW30" i="1" a="1"/>
  <c r="AW30" i="1" s="1"/>
  <c r="CE30" i="1" a="1"/>
  <c r="CE30" i="1" s="1"/>
  <c r="AL25" i="1" a="1"/>
  <c r="AL25" i="1" s="1"/>
  <c r="AL33" i="1" s="1"/>
  <c r="Y46" i="1" a="1"/>
  <c r="Y46" i="1" s="1"/>
  <c r="CT29" i="1" a="1"/>
  <c r="CT29" i="1" s="1"/>
  <c r="DG24" i="1" a="1"/>
  <c r="DG24" i="1" s="1"/>
  <c r="DG32" i="1" s="1"/>
  <c r="H24" i="1" a="1"/>
  <c r="H24" i="1" s="1"/>
  <c r="H32" i="1" s="1"/>
  <c r="CQ46" i="1" a="1"/>
  <c r="CQ46" i="1" s="1"/>
  <c r="AH23" i="1" a="1"/>
  <c r="AH23" i="1" s="1"/>
  <c r="AH31" i="1" s="1"/>
  <c r="CW49" i="1" a="1"/>
  <c r="CW49" i="1" s="1"/>
  <c r="AU29" i="1" a="1"/>
  <c r="AU29" i="1" s="1"/>
  <c r="DE29" i="1" a="1"/>
  <c r="DE29" i="1" s="1"/>
  <c r="DE46" i="1" a="1"/>
  <c r="DE46" i="1" s="1"/>
  <c r="CY30" i="1" a="1"/>
  <c r="CY30" i="1" s="1"/>
  <c r="BJ46" i="1" a="1"/>
  <c r="BJ46" i="1" s="1"/>
  <c r="AX30" i="1" a="1"/>
  <c r="AX30" i="1" s="1"/>
  <c r="CY46" i="1" a="1"/>
  <c r="CY46" i="1" s="1"/>
  <c r="DG30" i="1" a="1"/>
  <c r="DG30" i="1" s="1"/>
  <c r="AK49" i="1" a="1"/>
  <c r="AK49" i="1" s="1"/>
  <c r="BP30" i="1" a="1"/>
  <c r="BP30" i="1" s="1"/>
  <c r="BS30" i="1" a="1"/>
  <c r="BS30" i="1" s="1"/>
  <c r="W46" i="1" a="1"/>
  <c r="W46" i="1" s="1"/>
  <c r="AW24" i="1" a="1"/>
  <c r="AW24" i="1" s="1"/>
  <c r="AW32" i="1" s="1"/>
  <c r="CK24" i="1" a="1"/>
  <c r="CK24" i="1" s="1"/>
  <c r="CK32" i="1" s="1"/>
  <c r="N49" i="1" a="1"/>
  <c r="N49" i="1" s="1"/>
  <c r="BJ30" i="1" a="1"/>
  <c r="BJ30" i="1" s="1"/>
  <c r="CM30" i="1" a="1"/>
  <c r="CM30" i="1" s="1"/>
  <c r="Z25" i="1" a="1"/>
  <c r="Z25" i="1" s="1"/>
  <c r="Z33" i="1" s="1"/>
  <c r="AH46" i="1" a="1"/>
  <c r="AH46" i="1" s="1"/>
  <c r="AT30" i="1" a="1"/>
  <c r="AT30" i="1" s="1"/>
  <c r="AK30" i="1" a="1"/>
  <c r="AK30" i="1" s="1"/>
  <c r="BZ25" i="1" a="1"/>
  <c r="BZ25" i="1" s="1"/>
  <c r="BZ33" i="1" s="1"/>
  <c r="BE49" i="1" a="1"/>
  <c r="BE49" i="1" s="1"/>
  <c r="T25" i="1" a="1"/>
  <c r="T25" i="1" s="1"/>
  <c r="T33" i="1" s="1"/>
  <c r="CC24" i="1" a="1"/>
  <c r="CC24" i="1" s="1"/>
  <c r="CC32" i="1" s="1"/>
  <c r="BI23" i="1" a="1"/>
  <c r="BI23" i="1" s="1"/>
  <c r="BI31" i="1" s="1"/>
  <c r="R25" i="1" a="1"/>
  <c r="R25" i="1" s="1"/>
  <c r="R33" i="1" s="1"/>
  <c r="CA49" i="1" a="1"/>
  <c r="CA49" i="1" s="1"/>
  <c r="CX29" i="1" a="1"/>
  <c r="CX29" i="1" s="1"/>
  <c r="BA23" i="1" a="1"/>
  <c r="BA23" i="1" s="1"/>
  <c r="BA31" i="1" s="1"/>
  <c r="M30" i="1" a="1"/>
  <c r="M30" i="1" s="1"/>
  <c r="M46" i="1" a="1"/>
  <c r="M46" i="1" s="1"/>
  <c r="AZ49" i="1" a="1"/>
  <c r="AZ49" i="1" s="1"/>
  <c r="L46" i="1" a="1"/>
  <c r="L46" i="1" s="1"/>
  <c r="CM29" i="1" a="1"/>
  <c r="CM29" i="1" s="1"/>
  <c r="DN49" i="1" a="1"/>
  <c r="DN49" i="1" s="1"/>
  <c r="CO30" i="1" a="1"/>
  <c r="CO30" i="1" s="1"/>
  <c r="CE29" i="1" a="1"/>
  <c r="CE29" i="1" s="1"/>
  <c r="V24" i="1" a="1"/>
  <c r="V24" i="1" s="1"/>
  <c r="V32" i="1" s="1"/>
  <c r="AB25" i="1" a="1"/>
  <c r="AB25" i="1" s="1"/>
  <c r="AB33" i="1" s="1"/>
  <c r="DE25" i="1" a="1"/>
  <c r="DE25" i="1" s="1"/>
  <c r="DE33" i="1" s="1"/>
  <c r="AO25" i="1" a="1"/>
  <c r="AO25" i="1" s="1"/>
  <c r="AO33" i="1" s="1"/>
  <c r="AY24" i="1" a="1"/>
  <c r="AY24" i="1" s="1"/>
  <c r="AY32" i="1" s="1"/>
  <c r="CW46" i="1" a="1"/>
  <c r="CW46" i="1" s="1"/>
  <c r="BQ46" i="1" a="1"/>
  <c r="BQ46" i="1" s="1"/>
  <c r="H49" i="1" a="1"/>
  <c r="H49" i="1" s="1"/>
  <c r="AL30" i="1" a="1"/>
  <c r="AL30" i="1" s="1"/>
  <c r="Q24" i="1" a="1"/>
  <c r="Q24" i="1" s="1"/>
  <c r="Q32" i="1" s="1"/>
  <c r="BA25" i="1" a="1"/>
  <c r="BA25" i="1" s="1"/>
  <c r="BA33" i="1" s="1"/>
  <c r="DB46" i="1" a="1"/>
  <c r="DB46" i="1" s="1"/>
  <c r="DJ23" i="1" a="1"/>
  <c r="DJ23" i="1" s="1"/>
  <c r="DJ31" i="1" s="1"/>
  <c r="AV49" i="1" a="1"/>
  <c r="AV49" i="1" s="1"/>
  <c r="C29" i="1" a="1"/>
  <c r="C29" i="1" s="1"/>
  <c r="BY29" i="1" a="1"/>
  <c r="BY29" i="1" s="1"/>
  <c r="CH23" i="1" a="1"/>
  <c r="CH23" i="1" s="1"/>
  <c r="CH31" i="1" s="1"/>
  <c r="AA24" i="1" a="1"/>
  <c r="AA24" i="1" s="1"/>
  <c r="AA32" i="1" s="1"/>
  <c r="T46" i="1" a="1"/>
  <c r="T46" i="1" s="1"/>
  <c r="CI24" i="1" a="1"/>
  <c r="CI24" i="1" s="1"/>
  <c r="CI32" i="1" s="1"/>
  <c r="C46" i="1" a="1"/>
  <c r="C46" i="1" s="1"/>
  <c r="DN30" i="1" a="1"/>
  <c r="DN30" i="1" s="1"/>
  <c r="M24" i="1" a="1"/>
  <c r="M24" i="1" s="1"/>
  <c r="M32" i="1" s="1"/>
  <c r="N25" i="1" a="1"/>
  <c r="N25" i="1" s="1"/>
  <c r="N33" i="1" s="1"/>
  <c r="BV25" i="1" a="1"/>
  <c r="BV25" i="1" s="1"/>
  <c r="BV33" i="1" s="1"/>
  <c r="DM24" i="1" a="1"/>
  <c r="DM24" i="1" s="1"/>
  <c r="DM32" i="1" s="1"/>
  <c r="AP24" i="1" a="1"/>
  <c r="AP24" i="1" s="1"/>
  <c r="AP32" i="1" s="1"/>
  <c r="DC49" i="1" a="1"/>
  <c r="DC49" i="1" s="1"/>
  <c r="J49" i="1" a="1"/>
  <c r="J49" i="1" s="1"/>
  <c r="CF49" i="1" a="1"/>
  <c r="CF49" i="1" s="1"/>
  <c r="BZ30" i="1" a="1"/>
  <c r="BZ30" i="1" s="1"/>
  <c r="DS23" i="1" a="1"/>
  <c r="DS23" i="1" s="1"/>
  <c r="DS31" i="1" s="1"/>
  <c r="O24" i="1" a="1"/>
  <c r="O24" i="1" s="1"/>
  <c r="O32" i="1" s="1"/>
  <c r="AF49" i="1" a="1"/>
  <c r="AF49" i="1" s="1"/>
  <c r="CT46" i="1" a="1"/>
  <c r="CT46" i="1" s="1"/>
  <c r="CH49" i="1" a="1"/>
  <c r="CH49" i="1" s="1"/>
  <c r="AC24" i="1" a="1"/>
  <c r="AC24" i="1" s="1"/>
  <c r="AC32" i="1" s="1"/>
  <c r="AN30" i="1" a="1"/>
  <c r="AN30" i="1" s="1"/>
  <c r="O23" i="1" a="1"/>
  <c r="O23" i="1" s="1"/>
  <c r="O31" i="1" s="1"/>
  <c r="G46" i="1" a="1"/>
  <c r="G46" i="1" s="1"/>
  <c r="AO49" i="1" a="1"/>
  <c r="AO49" i="1" s="1"/>
  <c r="BG24" i="1" a="1"/>
  <c r="BG24" i="1" s="1"/>
  <c r="BG32" i="1" s="1"/>
  <c r="C25" i="1" a="1"/>
  <c r="C25" i="1" s="1"/>
  <c r="C33" i="1" s="1"/>
  <c r="CL49" i="1" a="1"/>
  <c r="CL49" i="1" s="1"/>
  <c r="AS24" i="1" a="1"/>
  <c r="AS24" i="1" s="1"/>
  <c r="AS32" i="1" s="1"/>
  <c r="AI46" i="1" a="1"/>
  <c r="AI46" i="1" s="1"/>
  <c r="CI29" i="1" a="1"/>
  <c r="CI29" i="1" s="1"/>
  <c r="DB24" i="1" a="1"/>
  <c r="DB24" i="1" s="1"/>
  <c r="DB32" i="1" s="1"/>
  <c r="D46" i="1" a="1"/>
  <c r="D46" i="1" s="1"/>
  <c r="AW23" i="1" a="1"/>
  <c r="AW23" i="1" s="1"/>
  <c r="AW31" i="1" s="1"/>
  <c r="DA46" i="1" a="1"/>
  <c r="DA46" i="1" s="1"/>
  <c r="L49" i="1" a="1"/>
  <c r="L49" i="1" s="1"/>
  <c r="AE46" i="1" a="1"/>
  <c r="AE46" i="1" s="1"/>
  <c r="BH46" i="1" a="1"/>
  <c r="BH46" i="1" s="1"/>
  <c r="F23" i="1" a="1"/>
  <c r="F23" i="1" s="1"/>
  <c r="F31" i="1" s="1"/>
  <c r="Z46" i="1" a="1"/>
  <c r="Z46" i="1" s="1"/>
  <c r="CR46" i="1" a="1"/>
  <c r="CR46" i="1" s="1"/>
  <c r="AM46" i="1" a="1"/>
  <c r="AM46" i="1" s="1"/>
  <c r="R49" i="1" a="1"/>
  <c r="R49" i="1" s="1"/>
  <c r="AE49" i="1" a="1"/>
  <c r="AE49" i="1" s="1"/>
  <c r="DL23" i="1" a="1"/>
  <c r="DL23" i="1" s="1"/>
  <c r="DL31" i="1" s="1"/>
  <c r="BK30" i="1" a="1"/>
  <c r="BK30" i="1" s="1"/>
  <c r="AV29" i="1" a="1"/>
  <c r="AV29" i="1" s="1"/>
  <c r="DM30" i="1" a="1"/>
  <c r="DM30" i="1" s="1"/>
  <c r="BF46" i="1" a="1"/>
  <c r="BF46" i="1" s="1"/>
  <c r="CV49" i="1" a="1"/>
  <c r="CV49" i="1" s="1"/>
  <c r="BM46" i="1" a="1"/>
  <c r="BM46" i="1" s="1"/>
  <c r="AC46" i="1" a="1"/>
  <c r="AC46" i="1" s="1"/>
  <c r="BK25" i="1" a="1"/>
  <c r="BK25" i="1" s="1"/>
  <c r="BK33" i="1" s="1"/>
  <c r="CJ46" i="1" a="1"/>
  <c r="CJ46" i="1" s="1"/>
  <c r="BB39" i="1" a="1"/>
  <c r="BB39" i="1" s="1"/>
  <c r="DS41" i="1" a="1"/>
  <c r="DS41" i="1" s="1"/>
  <c r="BP39" i="1" a="1"/>
  <c r="BP39" i="1" s="1"/>
  <c r="AD39" i="1" a="1"/>
  <c r="AD39" i="1" s="1"/>
  <c r="AK40" i="1" a="1"/>
  <c r="AK40" i="1" s="1"/>
  <c r="AE41" i="1" a="1"/>
  <c r="AE41" i="1" s="1"/>
  <c r="CG40" i="1" a="1"/>
  <c r="CG40" i="1" s="1"/>
  <c r="I40" i="1" a="1"/>
  <c r="I40" i="1" s="1"/>
  <c r="BV40" i="1" a="1"/>
  <c r="BV40" i="1" s="1"/>
  <c r="O41" i="1" a="1"/>
  <c r="O41" i="1" s="1"/>
  <c r="BO41" i="1" a="1"/>
  <c r="BO41" i="1" s="1"/>
  <c r="BX40" i="1" a="1"/>
  <c r="BX40" i="1" s="1"/>
  <c r="CR39" i="1" a="1"/>
  <c r="CR39" i="1" s="1"/>
  <c r="BN40" i="1" a="1"/>
  <c r="BN40" i="1" s="1"/>
  <c r="S41" i="1" a="1"/>
  <c r="S41" i="1" s="1"/>
  <c r="P39" i="1" a="1"/>
  <c r="P39" i="1" s="1"/>
  <c r="DC39" i="1" a="1"/>
  <c r="DC39" i="1" s="1"/>
  <c r="DF39" i="1" a="1"/>
  <c r="DF39" i="1" s="1"/>
  <c r="Y40" i="1" a="1"/>
  <c r="Y40" i="1" s="1"/>
  <c r="BD40" i="1" a="1"/>
  <c r="BD40" i="1" s="1"/>
  <c r="DL41" i="1" a="1"/>
  <c r="DL41" i="1" s="1"/>
  <c r="BQ41" i="1" a="1"/>
  <c r="BQ41" i="1" s="1"/>
  <c r="AR41" i="1" a="1"/>
  <c r="AR41" i="1" s="1"/>
  <c r="CE41" i="1" a="1"/>
  <c r="CE41" i="1" s="1"/>
  <c r="AX39" i="1" a="1"/>
  <c r="AX39" i="1" s="1"/>
  <c r="AU39" i="1" a="1"/>
  <c r="AU39" i="1" s="1"/>
  <c r="X40" i="1" a="1"/>
  <c r="X40" i="1" s="1"/>
  <c r="K41" i="1" a="1"/>
  <c r="K41" i="1" s="1"/>
  <c r="DR12" i="1"/>
  <c r="DR13" i="1"/>
  <c r="DR17" i="1" s="1"/>
  <c r="DS5" i="1"/>
  <c r="BD39" i="1" l="1" a="1"/>
  <c r="BD39" i="1" s="1"/>
  <c r="CI41" i="1" a="1"/>
  <c r="CI41" i="1" s="1"/>
  <c r="DD41" i="1" a="1"/>
  <c r="DD41" i="1" s="1"/>
  <c r="AY39" i="1" a="1"/>
  <c r="AY39" i="1" s="1"/>
  <c r="AB39" i="1" a="1"/>
  <c r="AB39" i="1" s="1"/>
  <c r="BY40" i="1" a="1"/>
  <c r="BY40" i="1" s="1"/>
  <c r="CW40" i="1" a="1"/>
  <c r="CW40" i="1" s="1"/>
  <c r="CT41" i="1" a="1"/>
  <c r="CT41" i="1" s="1"/>
  <c r="T40" i="1" a="1"/>
  <c r="T40" i="1" s="1"/>
  <c r="BG41" i="1" a="1"/>
  <c r="BG41" i="1" s="1"/>
  <c r="AA41" i="1" a="1"/>
  <c r="AA41" i="1" s="1"/>
  <c r="DK39" i="1" a="1"/>
  <c r="DK39" i="1" s="1"/>
  <c r="CX41" i="1" a="1"/>
  <c r="CX41" i="1" s="1"/>
  <c r="DE39" i="1" a="1"/>
  <c r="DE39" i="1" s="1"/>
  <c r="AL39" i="1" a="1"/>
  <c r="AL39" i="1" s="1"/>
  <c r="DR39" i="1" a="1"/>
  <c r="DR39" i="1" s="1"/>
  <c r="BM39" i="1" a="1"/>
  <c r="BM39" i="1" s="1"/>
  <c r="DP40" i="1" a="1"/>
  <c r="DP40" i="1" s="1"/>
  <c r="E40" i="1" a="1"/>
  <c r="E40" i="1" s="1"/>
  <c r="AQ41" i="1" a="1"/>
  <c r="AQ41" i="1" s="1"/>
  <c r="AF40" i="1" a="1"/>
  <c r="AF40" i="1" s="1"/>
  <c r="AH40" i="1" a="1"/>
  <c r="AH40" i="1" s="1"/>
  <c r="CC39" i="1" a="1"/>
  <c r="CC39" i="1" s="1"/>
  <c r="DA40" i="1" a="1"/>
  <c r="DA40" i="1" s="1"/>
  <c r="CN39" i="1" a="1"/>
  <c r="CN39" i="1" s="1"/>
  <c r="DO40" i="1" a="1"/>
  <c r="DO40" i="1" s="1"/>
  <c r="BJ40" i="1" a="1"/>
  <c r="BJ40" i="1" s="1"/>
  <c r="BA40" i="1" a="1"/>
  <c r="BA40" i="1" s="1"/>
  <c r="DM39" i="1" a="1"/>
  <c r="DM39" i="1" s="1"/>
  <c r="CM40" i="1" a="1"/>
  <c r="CM40" i="1" s="1"/>
  <c r="CI39" i="1" a="1"/>
  <c r="CI39" i="1" s="1"/>
  <c r="C39" i="1" a="1"/>
  <c r="C39" i="1" s="1"/>
  <c r="E73" i="1"/>
  <c r="AP39" i="1" a="1"/>
  <c r="AP39" i="1" s="1"/>
  <c r="CX40" i="1" a="1"/>
  <c r="CX40" i="1" s="1"/>
  <c r="DB40" i="1" a="1"/>
  <c r="DB40" i="1" s="1"/>
  <c r="CD39" i="1" a="1"/>
  <c r="CD39" i="1" s="1"/>
  <c r="DG39" i="1" a="1"/>
  <c r="DG39" i="1" s="1"/>
  <c r="DH40" i="1" a="1"/>
  <c r="DH40" i="1" s="1"/>
  <c r="BQ39" i="1" a="1"/>
  <c r="BQ39" i="1" s="1"/>
  <c r="CK40" i="1" a="1"/>
  <c r="CK40" i="1" s="1"/>
  <c r="N40" i="1" a="1"/>
  <c r="N40" i="1" s="1"/>
  <c r="AB40" i="1" a="1"/>
  <c r="AB40" i="1" s="1"/>
  <c r="AF34" i="1"/>
  <c r="AF36" i="1" s="1"/>
  <c r="DH41" i="1" a="1"/>
  <c r="DH41" i="1" s="1"/>
  <c r="BA41" i="1" a="1"/>
  <c r="BA41" i="1" s="1"/>
  <c r="W39" i="1" a="1"/>
  <c r="W39" i="1" s="1"/>
  <c r="BF41" i="1" a="1"/>
  <c r="BF41" i="1" s="1"/>
  <c r="AO39" i="1" a="1"/>
  <c r="AO39" i="1" s="1"/>
  <c r="DH34" i="1"/>
  <c r="DH35" i="1" s="1"/>
  <c r="BD34" i="1"/>
  <c r="BD35" i="1" s="1"/>
  <c r="AE39" i="1" a="1"/>
  <c r="AE39" i="1" s="1"/>
  <c r="G40" i="1" a="1"/>
  <c r="G40" i="1" s="1"/>
  <c r="CO40" i="1" a="1"/>
  <c r="CO40" i="1" s="1"/>
  <c r="W41" i="1" a="1"/>
  <c r="W41" i="1" s="1"/>
  <c r="J41" i="1" a="1"/>
  <c r="J41" i="1" s="1"/>
  <c r="AG41" i="1" a="1"/>
  <c r="AG41" i="1" s="1"/>
  <c r="CY39" i="1" a="1"/>
  <c r="CY39" i="1" s="1"/>
  <c r="L39" i="1" a="1"/>
  <c r="L39" i="1" s="1"/>
  <c r="T41" i="1" a="1"/>
  <c r="T41" i="1" s="1"/>
  <c r="DM41" i="1" a="1"/>
  <c r="DM41" i="1" s="1"/>
  <c r="CC41" i="1" a="1"/>
  <c r="CC41" i="1" s="1"/>
  <c r="BH41" i="1" a="1"/>
  <c r="BH41" i="1" s="1"/>
  <c r="AG40" i="1" a="1"/>
  <c r="AG40" i="1" s="1"/>
  <c r="E41" i="1" a="1"/>
  <c r="E41" i="1" s="1"/>
  <c r="AD40" i="1" a="1"/>
  <c r="AD40" i="1" s="1"/>
  <c r="M40" i="1" a="1"/>
  <c r="M40" i="1" s="1"/>
  <c r="CP40" i="1" a="1"/>
  <c r="CP40" i="1" s="1"/>
  <c r="BR39" i="1" a="1"/>
  <c r="BR39" i="1" s="1"/>
  <c r="CS39" i="1" a="1"/>
  <c r="CS39" i="1" s="1"/>
  <c r="CR40" i="1" a="1"/>
  <c r="CR40" i="1" s="1"/>
  <c r="BO40" i="1" a="1"/>
  <c r="BO40" i="1" s="1"/>
  <c r="AY41" i="1" a="1"/>
  <c r="AY41" i="1" s="1"/>
  <c r="AH39" i="1" a="1"/>
  <c r="AH39" i="1" s="1"/>
  <c r="CU34" i="1"/>
  <c r="CU36" i="1" s="1"/>
  <c r="CH41" i="1" a="1"/>
  <c r="CH41" i="1" s="1"/>
  <c r="BZ41" i="1" a="1"/>
  <c r="BZ41" i="1" s="1"/>
  <c r="BM41" i="1" a="1"/>
  <c r="BM41" i="1" s="1"/>
  <c r="Q40" i="1" a="1"/>
  <c r="Q40" i="1" s="1"/>
  <c r="BP41" i="1" a="1"/>
  <c r="BP41" i="1" s="1"/>
  <c r="AL40" i="1" a="1"/>
  <c r="AL40" i="1" s="1"/>
  <c r="CV39" i="1" a="1"/>
  <c r="CV39" i="1" s="1"/>
  <c r="CI40" i="1" a="1"/>
  <c r="CI40" i="1" s="1"/>
  <c r="C41" i="1" a="1"/>
  <c r="C41" i="1" s="1"/>
  <c r="DS39" i="1" a="1"/>
  <c r="DS39" i="1" s="1"/>
  <c r="CU40" i="1" a="1"/>
  <c r="CU40" i="1" s="1"/>
  <c r="CH39" i="1" a="1"/>
  <c r="CH39" i="1" s="1"/>
  <c r="H39" i="1" a="1"/>
  <c r="H39" i="1" s="1"/>
  <c r="R39" i="1" a="1"/>
  <c r="R39" i="1" s="1"/>
  <c r="BY41" i="1" a="1"/>
  <c r="BY41" i="1" s="1"/>
  <c r="BP40" i="1" a="1"/>
  <c r="BP40" i="1" s="1"/>
  <c r="DP39" i="1" a="1"/>
  <c r="DP39" i="1" s="1"/>
  <c r="BC39" i="1" a="1"/>
  <c r="BC39" i="1" s="1"/>
  <c r="BE41" i="1" a="1"/>
  <c r="BE41" i="1" s="1"/>
  <c r="AX41" i="1" a="1"/>
  <c r="AX41" i="1" s="1"/>
  <c r="AA34" i="1"/>
  <c r="AA35" i="1" s="1"/>
  <c r="AA40" i="1" a="1"/>
  <c r="AA40" i="1" s="1"/>
  <c r="I41" i="1" a="1"/>
  <c r="I41" i="1" s="1"/>
  <c r="DN40" i="1" a="1"/>
  <c r="DN40" i="1" s="1"/>
  <c r="CI34" i="1"/>
  <c r="CI36" i="1" s="1"/>
  <c r="AG39" i="1" a="1"/>
  <c r="AG39" i="1" s="1"/>
  <c r="AY40" i="1" a="1"/>
  <c r="AY40" i="1" s="1"/>
  <c r="CZ40" i="1" a="1"/>
  <c r="CZ40" i="1" s="1"/>
  <c r="BK39" i="1" a="1"/>
  <c r="BK39" i="1" s="1"/>
  <c r="CF41" i="1" a="1"/>
  <c r="CF41" i="1" s="1"/>
  <c r="V39" i="1" a="1"/>
  <c r="V39" i="1" s="1"/>
  <c r="DB39" i="1" a="1"/>
  <c r="DB39" i="1" s="1"/>
  <c r="DL34" i="1"/>
  <c r="DL35" i="1" s="1"/>
  <c r="F39" i="1" a="1"/>
  <c r="F39" i="1" s="1"/>
  <c r="H34" i="1"/>
  <c r="H36" i="1" s="1"/>
  <c r="AM39" i="1" a="1"/>
  <c r="AM39" i="1" s="1"/>
  <c r="DF40" i="1" a="1"/>
  <c r="DF40" i="1" s="1"/>
  <c r="BL40" i="1" a="1"/>
  <c r="BL40" i="1" s="1"/>
  <c r="AW41" i="1" a="1"/>
  <c r="AW41" i="1" s="1"/>
  <c r="BG40" i="1" a="1"/>
  <c r="BG40" i="1" s="1"/>
  <c r="BU34" i="1"/>
  <c r="BU35" i="1" s="1"/>
  <c r="O34" i="1"/>
  <c r="O35" i="1" s="1"/>
  <c r="DN41" i="1" a="1"/>
  <c r="DN41" i="1" s="1"/>
  <c r="Q39" i="1" a="1"/>
  <c r="Q39" i="1" s="1"/>
  <c r="BS40" i="1" a="1"/>
  <c r="BS40" i="1" s="1"/>
  <c r="CE39" i="1" a="1"/>
  <c r="CE39" i="1" s="1"/>
  <c r="BJ39" i="1" a="1"/>
  <c r="BJ39" i="1" s="1"/>
  <c r="BS39" i="1" a="1"/>
  <c r="BS39" i="1" s="1"/>
  <c r="AM41" i="1" a="1"/>
  <c r="AM41" i="1" s="1"/>
  <c r="H40" i="1" a="1"/>
  <c r="H40" i="1" s="1"/>
  <c r="DA41" i="1" a="1"/>
  <c r="DA41" i="1" s="1"/>
  <c r="CF34" i="1"/>
  <c r="CF35" i="1" s="1"/>
  <c r="AW34" i="1"/>
  <c r="AW35" i="1" s="1"/>
  <c r="BP34" i="1"/>
  <c r="BP35" i="1" s="1"/>
  <c r="DM40" i="1" a="1"/>
  <c r="DM40" i="1" s="1"/>
  <c r="R41" i="1" a="1"/>
  <c r="R41" i="1" s="1"/>
  <c r="AT41" i="1" a="1"/>
  <c r="AT41" i="1" s="1"/>
  <c r="M34" i="1"/>
  <c r="M36" i="1" s="1"/>
  <c r="CP39" i="1" a="1"/>
  <c r="CP39" i="1" s="1"/>
  <c r="BO39" i="1" a="1"/>
  <c r="BO39" i="1" s="1"/>
  <c r="CO39" i="1" a="1"/>
  <c r="CO39" i="1" s="1"/>
  <c r="BK40" i="1" a="1"/>
  <c r="BK40" i="1" s="1"/>
  <c r="G39" i="1" a="1"/>
  <c r="G39" i="1" s="1"/>
  <c r="CL41" i="1" a="1"/>
  <c r="CL41" i="1" s="1"/>
  <c r="BE39" i="1" a="1"/>
  <c r="BE39" i="1" s="1"/>
  <c r="S34" i="1"/>
  <c r="S36" i="1" s="1"/>
  <c r="DO39" i="1" a="1"/>
  <c r="DO39" i="1" s="1"/>
  <c r="CS41" i="1" a="1"/>
  <c r="CS41" i="1" s="1"/>
  <c r="AT40" i="1" a="1"/>
  <c r="AT40" i="1" s="1"/>
  <c r="CH40" i="1" a="1"/>
  <c r="CH40" i="1" s="1"/>
  <c r="AH41" i="1" a="1"/>
  <c r="AH41" i="1" s="1"/>
  <c r="AN39" i="1" a="1"/>
  <c r="AN39" i="1" s="1"/>
  <c r="AP41" i="1" a="1"/>
  <c r="AP41" i="1" s="1"/>
  <c r="CZ34" i="1"/>
  <c r="CZ36" i="1" s="1"/>
  <c r="DL40" i="1" a="1"/>
  <c r="DL40" i="1" s="1"/>
  <c r="P40" i="1" a="1"/>
  <c r="P40" i="1" s="1"/>
  <c r="Y41" i="1" a="1"/>
  <c r="Y41" i="1" s="1"/>
  <c r="CM39" i="1" a="1"/>
  <c r="CM39" i="1" s="1"/>
  <c r="AV39" i="1" a="1"/>
  <c r="AV39" i="1" s="1"/>
  <c r="K40" i="1" a="1"/>
  <c r="K40" i="1" s="1"/>
  <c r="K43" i="1" s="1"/>
  <c r="L40" i="1" a="1"/>
  <c r="L40" i="1" s="1"/>
  <c r="DK41" i="1" a="1"/>
  <c r="DK41" i="1" s="1"/>
  <c r="F41" i="1" a="1"/>
  <c r="F41" i="1" s="1"/>
  <c r="U40" i="1" a="1"/>
  <c r="U40" i="1" s="1"/>
  <c r="CC40" i="1" a="1"/>
  <c r="CC40" i="1" s="1"/>
  <c r="CX39" i="1" a="1"/>
  <c r="CX39" i="1" s="1"/>
  <c r="DA39" i="1" a="1"/>
  <c r="DA39" i="1" s="1"/>
  <c r="AR40" i="1" a="1"/>
  <c r="AR40" i="1" s="1"/>
  <c r="CJ41" i="1" a="1"/>
  <c r="CJ41" i="1" s="1"/>
  <c r="CW39" i="1" a="1"/>
  <c r="CW39" i="1" s="1"/>
  <c r="CA39" i="1" a="1"/>
  <c r="CA39" i="1" s="1"/>
  <c r="DR41" i="1" a="1"/>
  <c r="DR41" i="1" s="1"/>
  <c r="BF39" i="1" a="1"/>
  <c r="BF39" i="1" s="1"/>
  <c r="AD41" i="1" a="1"/>
  <c r="AD41" i="1" s="1"/>
  <c r="AC39" i="1" a="1"/>
  <c r="AC39" i="1" s="1"/>
  <c r="BK34" i="1"/>
  <c r="BK35" i="1" s="1"/>
  <c r="BK41" i="1" a="1"/>
  <c r="BK41" i="1" s="1"/>
  <c r="CB40" i="1" a="1"/>
  <c r="CB40" i="1" s="1"/>
  <c r="BN41" i="1" a="1"/>
  <c r="BN41" i="1" s="1"/>
  <c r="E39" i="1" a="1"/>
  <c r="E39" i="1" s="1"/>
  <c r="BH39" i="1" a="1"/>
  <c r="BH39" i="1" s="1"/>
  <c r="AZ39" i="1" a="1"/>
  <c r="AZ39" i="1" s="1"/>
  <c r="U41" i="1" a="1"/>
  <c r="U41" i="1" s="1"/>
  <c r="AW40" i="1" a="1"/>
  <c r="AW40" i="1" s="1"/>
  <c r="V40" i="1" a="1"/>
  <c r="V40" i="1" s="1"/>
  <c r="BR41" i="1" a="1"/>
  <c r="BR41" i="1" s="1"/>
  <c r="CA40" i="1" a="1"/>
  <c r="CA40" i="1" s="1"/>
  <c r="S39" i="1" a="1"/>
  <c r="S39" i="1" s="1"/>
  <c r="CB34" i="1"/>
  <c r="CB35" i="1" s="1"/>
  <c r="DC40" i="1" a="1"/>
  <c r="DC40" i="1" s="1"/>
  <c r="DI41" i="1" a="1"/>
  <c r="DI41" i="1" s="1"/>
  <c r="BV39" i="1" a="1"/>
  <c r="BV39" i="1" s="1"/>
  <c r="DR40" i="1" a="1"/>
  <c r="DR40" i="1" s="1"/>
  <c r="CQ40" i="1" a="1"/>
  <c r="CQ40" i="1" s="1"/>
  <c r="CF40" i="1" a="1"/>
  <c r="CF40" i="1" s="1"/>
  <c r="O40" i="1" a="1"/>
  <c r="O40" i="1" s="1"/>
  <c r="AK39" i="1" a="1"/>
  <c r="AK39" i="1" s="1"/>
  <c r="DD40" i="1" a="1"/>
  <c r="DD40" i="1" s="1"/>
  <c r="DK40" i="1" a="1"/>
  <c r="DK40" i="1" s="1"/>
  <c r="AS40" i="1" a="1"/>
  <c r="AS40" i="1" s="1"/>
  <c r="AS39" i="1" a="1"/>
  <c r="AS39" i="1" s="1"/>
  <c r="DQ40" i="1" a="1"/>
  <c r="DQ40" i="1" s="1"/>
  <c r="CS40" i="1" a="1"/>
  <c r="CS40" i="1" s="1"/>
  <c r="CB41" i="1" a="1"/>
  <c r="CB41" i="1" s="1"/>
  <c r="AJ39" i="1" a="1"/>
  <c r="AJ39" i="1" s="1"/>
  <c r="Z40" i="1" a="1"/>
  <c r="Z40" i="1" s="1"/>
  <c r="D41" i="1" a="1"/>
  <c r="D41" i="1" s="1"/>
  <c r="BQ40" i="1" a="1"/>
  <c r="BQ40" i="1" s="1"/>
  <c r="BU41" i="1" a="1"/>
  <c r="BU41" i="1" s="1"/>
  <c r="AI41" i="1" a="1"/>
  <c r="AI41" i="1" s="1"/>
  <c r="AR39" i="1" a="1"/>
  <c r="AR39" i="1" s="1"/>
  <c r="AZ40" i="1" a="1"/>
  <c r="AZ40" i="1" s="1"/>
  <c r="BL41" i="1" a="1"/>
  <c r="BL41" i="1" s="1"/>
  <c r="DQ39" i="1" a="1"/>
  <c r="DQ39" i="1" s="1"/>
  <c r="CU41" i="1" a="1"/>
  <c r="CU41" i="1" s="1"/>
  <c r="BW39" i="1" a="1"/>
  <c r="BW39" i="1" s="1"/>
  <c r="DE40" i="1" a="1"/>
  <c r="DE40" i="1" s="1"/>
  <c r="Q41" i="1" a="1"/>
  <c r="Q41" i="1" s="1"/>
  <c r="F40" i="1" a="1"/>
  <c r="F40" i="1" s="1"/>
  <c r="CE40" i="1" a="1"/>
  <c r="CE40" i="1" s="1"/>
  <c r="CR41" i="1" a="1"/>
  <c r="CR41" i="1" s="1"/>
  <c r="R40" i="1" a="1"/>
  <c r="R40" i="1" s="1"/>
  <c r="M41" i="1" a="1"/>
  <c r="M41" i="1" s="1"/>
  <c r="G41" i="1" a="1"/>
  <c r="G41" i="1" s="1"/>
  <c r="AF41" i="1" a="1"/>
  <c r="AF41" i="1" s="1"/>
  <c r="BU40" i="1" a="1"/>
  <c r="BU40" i="1" s="1"/>
  <c r="BT39" i="1" a="1"/>
  <c r="BT39" i="1" s="1"/>
  <c r="S40" i="1" a="1"/>
  <c r="S40" i="1" s="1"/>
  <c r="AJ40" i="1" a="1"/>
  <c r="AJ40" i="1" s="1"/>
  <c r="R34" i="1"/>
  <c r="R35" i="1" s="1"/>
  <c r="CG34" i="1"/>
  <c r="CG35" i="1" s="1"/>
  <c r="BA34" i="1"/>
  <c r="BA36" i="1" s="1"/>
  <c r="AI34" i="1"/>
  <c r="AI35" i="1" s="1"/>
  <c r="Y34" i="1"/>
  <c r="Y35" i="1" s="1"/>
  <c r="X34" i="1"/>
  <c r="X35" i="1" s="1"/>
  <c r="CL34" i="1"/>
  <c r="CL36" i="1" s="1"/>
  <c r="BY34" i="1"/>
  <c r="BY36" i="1" s="1"/>
  <c r="N34" i="1"/>
  <c r="N36" i="1" s="1"/>
  <c r="I34" i="1"/>
  <c r="I36" i="1" s="1"/>
  <c r="AH34" i="1"/>
  <c r="AH36" i="1" s="1"/>
  <c r="BR34" i="1"/>
  <c r="BR35" i="1" s="1"/>
  <c r="DI34" i="1"/>
  <c r="DI35" i="1" s="1"/>
  <c r="BN34" i="1"/>
  <c r="BN36" i="1" s="1"/>
  <c r="CW34" i="1"/>
  <c r="CW35" i="1" s="1"/>
  <c r="BL34" i="1"/>
  <c r="BL36" i="1" s="1"/>
  <c r="T34" i="1"/>
  <c r="T36" i="1" s="1"/>
  <c r="BZ34" i="1"/>
  <c r="BZ36" i="1" s="1"/>
  <c r="CH34" i="1"/>
  <c r="CH35" i="1" s="1"/>
  <c r="BE47" i="1"/>
  <c r="BE48" i="1"/>
  <c r="DD36" i="1"/>
  <c r="DD35" i="1"/>
  <c r="BS41" i="1" a="1"/>
  <c r="BS41" i="1" s="1"/>
  <c r="Z41" i="1" a="1"/>
  <c r="Z41" i="1" s="1"/>
  <c r="P41" i="1" a="1"/>
  <c r="P41" i="1" s="1"/>
  <c r="DO41" i="1" a="1"/>
  <c r="DO41" i="1" s="1"/>
  <c r="CZ39" i="1" a="1"/>
  <c r="CZ39" i="1" s="1"/>
  <c r="J40" i="1" a="1"/>
  <c r="J40" i="1" s="1"/>
  <c r="CL39" i="1" a="1"/>
  <c r="CL39" i="1" s="1"/>
  <c r="BF48" i="1"/>
  <c r="BF47" i="1"/>
  <c r="BH48" i="1"/>
  <c r="BH47" i="1"/>
  <c r="CW48" i="1"/>
  <c r="CW47" i="1"/>
  <c r="CQ48" i="1"/>
  <c r="CQ47" i="1"/>
  <c r="CK34" i="1"/>
  <c r="DE34" i="1"/>
  <c r="CA48" i="1"/>
  <c r="CA47" i="1"/>
  <c r="BL47" i="1"/>
  <c r="BL48" i="1"/>
  <c r="DQ48" i="1"/>
  <c r="DQ47" i="1"/>
  <c r="DO34" i="1"/>
  <c r="BT47" i="1"/>
  <c r="BT48" i="1"/>
  <c r="DF47" i="1"/>
  <c r="DF48" i="1"/>
  <c r="BY48" i="1"/>
  <c r="BY47" i="1"/>
  <c r="N47" i="1"/>
  <c r="N48" i="1"/>
  <c r="CL40" i="1" a="1"/>
  <c r="CL40" i="1" s="1"/>
  <c r="DJ39" i="1" a="1"/>
  <c r="DJ39" i="1" s="1"/>
  <c r="BI40" i="1" a="1"/>
  <c r="BI40" i="1" s="1"/>
  <c r="AN41" i="1" a="1"/>
  <c r="AN41" i="1" s="1"/>
  <c r="AL41" i="1" a="1"/>
  <c r="AL41" i="1" s="1"/>
  <c r="AF39" i="1" a="1"/>
  <c r="AF39" i="1" s="1"/>
  <c r="BI41" i="1" a="1"/>
  <c r="BI41" i="1" s="1"/>
  <c r="V41" i="1" a="1"/>
  <c r="V41" i="1" s="1"/>
  <c r="AB41" i="1" a="1"/>
  <c r="AB41" i="1" s="1"/>
  <c r="BC40" i="1" a="1"/>
  <c r="BC40" i="1" s="1"/>
  <c r="DP41" i="1" a="1"/>
  <c r="DP41" i="1" s="1"/>
  <c r="BT40" i="1" a="1"/>
  <c r="BT40" i="1" s="1"/>
  <c r="X41" i="1" a="1"/>
  <c r="X41" i="1" s="1"/>
  <c r="BY39" i="1" a="1"/>
  <c r="BY39" i="1" s="1"/>
  <c r="BC41" i="1" a="1"/>
  <c r="BC41" i="1" s="1"/>
  <c r="C40" i="1" a="1"/>
  <c r="C40" i="1" s="1"/>
  <c r="AE47" i="1"/>
  <c r="AE48" i="1"/>
  <c r="M47" i="1"/>
  <c r="M48" i="1"/>
  <c r="AU47" i="1"/>
  <c r="AU48" i="1"/>
  <c r="BX47" i="1"/>
  <c r="BX48" i="1"/>
  <c r="DK34" i="1"/>
  <c r="CH48" i="1"/>
  <c r="CH47" i="1"/>
  <c r="BI48" i="1"/>
  <c r="BI47" i="1"/>
  <c r="CN34" i="1"/>
  <c r="AN40" i="1" a="1"/>
  <c r="AN40" i="1" s="1"/>
  <c r="AY34" i="1"/>
  <c r="AL48" i="1"/>
  <c r="AL47" i="1"/>
  <c r="AW48" i="1"/>
  <c r="AW47" i="1"/>
  <c r="BE34" i="1"/>
  <c r="AK48" i="1"/>
  <c r="AK47" i="1"/>
  <c r="CB48" i="1"/>
  <c r="CB47" i="1"/>
  <c r="AZ48" i="1"/>
  <c r="AZ47" i="1"/>
  <c r="AE34" i="1"/>
  <c r="L34" i="1"/>
  <c r="DA34" i="1"/>
  <c r="BW47" i="1"/>
  <c r="BW48" i="1"/>
  <c r="DH47" i="1"/>
  <c r="DH48" i="1"/>
  <c r="R48" i="1"/>
  <c r="R47" i="1"/>
  <c r="U34" i="1"/>
  <c r="DC41" i="1" a="1"/>
  <c r="DC41" i="1" s="1"/>
  <c r="BG39" i="1" a="1"/>
  <c r="BG39" i="1" s="1"/>
  <c r="BV48" i="1"/>
  <c r="BV47" i="1"/>
  <c r="DQ41" i="1" a="1"/>
  <c r="DQ41" i="1" s="1"/>
  <c r="BJ48" i="1"/>
  <c r="BJ47" i="1"/>
  <c r="BA48" i="1"/>
  <c r="BA47" i="1"/>
  <c r="DR47" i="1"/>
  <c r="DR48" i="1"/>
  <c r="DE41" i="1" a="1"/>
  <c r="DE41" i="1" s="1"/>
  <c r="BF40" i="1" a="1"/>
  <c r="BF40" i="1" s="1"/>
  <c r="CJ34" i="1"/>
  <c r="Z34" i="1"/>
  <c r="Z39" i="1" a="1"/>
  <c r="Z39" i="1" s="1"/>
  <c r="H41" i="1" a="1"/>
  <c r="H41" i="1" s="1"/>
  <c r="N39" i="1" a="1"/>
  <c r="N39" i="1" s="1"/>
  <c r="BS34" i="1"/>
  <c r="DQ34" i="1"/>
  <c r="CD41" i="1" a="1"/>
  <c r="CD41" i="1" s="1"/>
  <c r="J39" i="1" a="1"/>
  <c r="J39" i="1" s="1"/>
  <c r="DD39" i="1" a="1"/>
  <c r="DD39" i="1" s="1"/>
  <c r="AQ39" i="1" a="1"/>
  <c r="AQ39" i="1" s="1"/>
  <c r="I39" i="1" a="1"/>
  <c r="I39" i="1" s="1"/>
  <c r="AE40" i="1" a="1"/>
  <c r="AE40" i="1" s="1"/>
  <c r="CJ48" i="1"/>
  <c r="CJ47" i="1"/>
  <c r="AM47" i="1"/>
  <c r="AM48" i="1"/>
  <c r="CT47" i="1"/>
  <c r="CT48" i="1"/>
  <c r="BI34" i="1"/>
  <c r="U47" i="1"/>
  <c r="U48" i="1"/>
  <c r="AZ34" i="1"/>
  <c r="CV48" i="1"/>
  <c r="CV47" i="1"/>
  <c r="AC34" i="1"/>
  <c r="AV41" i="1" a="1"/>
  <c r="AV41" i="1" s="1"/>
  <c r="CF47" i="1"/>
  <c r="CF48" i="1"/>
  <c r="E86" i="1"/>
  <c r="BX33" i="1"/>
  <c r="BX34" i="1" s="1"/>
  <c r="DP34" i="1"/>
  <c r="V34" i="1"/>
  <c r="G34" i="1"/>
  <c r="S47" i="1"/>
  <c r="S48" i="1"/>
  <c r="DN34" i="1"/>
  <c r="BQ34" i="1"/>
  <c r="CK47" i="1"/>
  <c r="CK48" i="1"/>
  <c r="CX47" i="1"/>
  <c r="CX48" i="1"/>
  <c r="DM34" i="1"/>
  <c r="AI39" i="1" a="1"/>
  <c r="AI39" i="1" s="1"/>
  <c r="CC34" i="1"/>
  <c r="CP48" i="1"/>
  <c r="CP47" i="1"/>
  <c r="BW41" i="1" a="1"/>
  <c r="BW41" i="1" s="1"/>
  <c r="CX34" i="1"/>
  <c r="BH34" i="1"/>
  <c r="CA34" i="1"/>
  <c r="H47" i="1"/>
  <c r="H48" i="1"/>
  <c r="AO34" i="1"/>
  <c r="CY47" i="1"/>
  <c r="CY48" i="1"/>
  <c r="I47" i="1"/>
  <c r="I48" i="1"/>
  <c r="AS47" i="1"/>
  <c r="AS48" i="1"/>
  <c r="AQ36" i="1"/>
  <c r="AQ35" i="1"/>
  <c r="DC48" i="1"/>
  <c r="DC47" i="1"/>
  <c r="DA47" i="1"/>
  <c r="DA48" i="1"/>
  <c r="BN47" i="1"/>
  <c r="BN48" i="1"/>
  <c r="CS47" i="1"/>
  <c r="CS48" i="1"/>
  <c r="AJ41" i="1" a="1"/>
  <c r="AJ41" i="1" s="1"/>
  <c r="J47" i="1"/>
  <c r="J48" i="1"/>
  <c r="BA39" i="1" a="1"/>
  <c r="BA39" i="1" s="1"/>
  <c r="CY34" i="1"/>
  <c r="CT34" i="1"/>
  <c r="AG48" i="1"/>
  <c r="AG47" i="1"/>
  <c r="O39" i="1" a="1"/>
  <c r="O39" i="1" s="1"/>
  <c r="D40" i="1" a="1"/>
  <c r="D40" i="1" s="1"/>
  <c r="AM40" i="1" a="1"/>
  <c r="AM40" i="1" s="1"/>
  <c r="DB47" i="1"/>
  <c r="DB48" i="1"/>
  <c r="BU48" i="1"/>
  <c r="BU47" i="1"/>
  <c r="E47" i="1"/>
  <c r="E48" i="1"/>
  <c r="DG48" i="1"/>
  <c r="DG47" i="1"/>
  <c r="AN48" i="1"/>
  <c r="AN47" i="1"/>
  <c r="CL47" i="1"/>
  <c r="CL48" i="1"/>
  <c r="DJ40" i="1" a="1"/>
  <c r="DJ40" i="1" s="1"/>
  <c r="BU39" i="1" a="1"/>
  <c r="BU39" i="1" s="1"/>
  <c r="AP40" i="1" a="1"/>
  <c r="AP40" i="1" s="1"/>
  <c r="CV41" i="1" a="1"/>
  <c r="CV41" i="1" s="1"/>
  <c r="DN39" i="1" a="1"/>
  <c r="DN39" i="1" s="1"/>
  <c r="BI39" i="1" a="1"/>
  <c r="BI39" i="1" s="1"/>
  <c r="AI48" i="1"/>
  <c r="AI47" i="1"/>
  <c r="CD34" i="1"/>
  <c r="DD48" i="1"/>
  <c r="DD47" i="1"/>
  <c r="DL48" i="1"/>
  <c r="DL47" i="1"/>
  <c r="BR47" i="1"/>
  <c r="BR48" i="1"/>
  <c r="AT39" i="1" a="1"/>
  <c r="AT39" i="1" s="1"/>
  <c r="AG34" i="1"/>
  <c r="AM34" i="1"/>
  <c r="E34" i="1"/>
  <c r="BS48" i="1"/>
  <c r="BS47" i="1"/>
  <c r="AR34" i="1"/>
  <c r="DG34" i="1"/>
  <c r="DJ47" i="1"/>
  <c r="DJ48" i="1"/>
  <c r="CU48" i="1"/>
  <c r="CU47" i="1"/>
  <c r="AB48" i="1"/>
  <c r="AB47" i="1"/>
  <c r="AL34" i="1"/>
  <c r="Q48" i="1"/>
  <c r="Q47" i="1"/>
  <c r="DR34" i="1"/>
  <c r="BM34" i="1"/>
  <c r="P47" i="1"/>
  <c r="P48" i="1"/>
  <c r="AT48" i="1"/>
  <c r="AT47" i="1"/>
  <c r="CO48" i="1"/>
  <c r="CO47" i="1"/>
  <c r="AU40" i="1" a="1"/>
  <c r="AU40" i="1" s="1"/>
  <c r="DK48" i="1"/>
  <c r="DK47" i="1"/>
  <c r="DI39" i="1" a="1"/>
  <c r="DI39" i="1" s="1"/>
  <c r="DJ34" i="1"/>
  <c r="CC47" i="1"/>
  <c r="CC48" i="1"/>
  <c r="CS34" i="1"/>
  <c r="CV40" i="1" a="1"/>
  <c r="CV40" i="1" s="1"/>
  <c r="AA39" i="1" a="1"/>
  <c r="AA39" i="1" s="1"/>
  <c r="DE48" i="1"/>
  <c r="DE47" i="1"/>
  <c r="V47" i="1"/>
  <c r="V48" i="1"/>
  <c r="BD47" i="1"/>
  <c r="BD48" i="1"/>
  <c r="DC34" i="1"/>
  <c r="Y39" i="1" a="1"/>
  <c r="Y39" i="1" s="1"/>
  <c r="AO40" i="1" a="1"/>
  <c r="AO40" i="1" s="1"/>
  <c r="BV41" i="1" a="1"/>
  <c r="BV41" i="1" s="1"/>
  <c r="BD41" i="1" a="1"/>
  <c r="BD41" i="1" s="1"/>
  <c r="DG41" i="1" a="1"/>
  <c r="DG41" i="1" s="1"/>
  <c r="BJ41" i="1" a="1"/>
  <c r="BJ41" i="1" s="1"/>
  <c r="BE40" i="1" a="1"/>
  <c r="BE40" i="1" s="1"/>
  <c r="BZ40" i="1" a="1"/>
  <c r="BZ40" i="1" s="1"/>
  <c r="CD40" i="1" a="1"/>
  <c r="CD40" i="1" s="1"/>
  <c r="CJ40" i="1" a="1"/>
  <c r="CJ40" i="1" s="1"/>
  <c r="CN40" i="1" a="1"/>
  <c r="CN40" i="1" s="1"/>
  <c r="BX39" i="1" a="1"/>
  <c r="BX39" i="1" s="1"/>
  <c r="CF39" i="1" a="1"/>
  <c r="CF39" i="1" s="1"/>
  <c r="AQ40" i="1" a="1"/>
  <c r="AQ40" i="1" s="1"/>
  <c r="T39" i="1" a="1"/>
  <c r="T39" i="1" s="1"/>
  <c r="BB40" i="1" a="1"/>
  <c r="BB40" i="1" s="1"/>
  <c r="DJ41" i="1" a="1"/>
  <c r="DJ41" i="1" s="1"/>
  <c r="AC48" i="1"/>
  <c r="AC47" i="1"/>
  <c r="CR48" i="1"/>
  <c r="CR47" i="1"/>
  <c r="AS34" i="1"/>
  <c r="C47" i="1"/>
  <c r="C48" i="1"/>
  <c r="W48" i="1"/>
  <c r="W47" i="1"/>
  <c r="DI47" i="1"/>
  <c r="DI48" i="1"/>
  <c r="BO34" i="1"/>
  <c r="AQ48" i="1"/>
  <c r="AQ47" i="1"/>
  <c r="AK34" i="1"/>
  <c r="AT34" i="1"/>
  <c r="BT34" i="1"/>
  <c r="BC48" i="1"/>
  <c r="BC47" i="1"/>
  <c r="K48" i="1"/>
  <c r="K47" i="1"/>
  <c r="F47" i="1"/>
  <c r="F48" i="1"/>
  <c r="AX34" i="1"/>
  <c r="P34" i="1"/>
  <c r="AA48" i="1"/>
  <c r="AA47" i="1"/>
  <c r="AV48" i="1"/>
  <c r="AV47" i="1"/>
  <c r="AX48" i="1"/>
  <c r="AX47" i="1"/>
  <c r="CE48" i="1"/>
  <c r="CE47" i="1"/>
  <c r="DF34" i="1"/>
  <c r="G47" i="1"/>
  <c r="G48" i="1"/>
  <c r="AF48" i="1"/>
  <c r="AF47" i="1"/>
  <c r="BG35" i="1"/>
  <c r="BG36" i="1"/>
  <c r="CG39" i="1" a="1"/>
  <c r="CG39" i="1" s="1"/>
  <c r="Y47" i="1"/>
  <c r="Y48" i="1"/>
  <c r="AR47" i="1"/>
  <c r="AR48" i="1"/>
  <c r="AP47" i="1"/>
  <c r="AP48" i="1"/>
  <c r="AU41" i="1" a="1"/>
  <c r="AU41" i="1" s="1"/>
  <c r="DO48" i="1"/>
  <c r="DO47" i="1"/>
  <c r="AD48" i="1"/>
  <c r="AD47" i="1"/>
  <c r="AO48" i="1"/>
  <c r="AO47" i="1"/>
  <c r="BN39" i="1" a="1"/>
  <c r="BN39" i="1" s="1"/>
  <c r="CB39" i="1" a="1"/>
  <c r="CB39" i="1" s="1"/>
  <c r="AB34" i="1"/>
  <c r="DI40" i="1" a="1"/>
  <c r="DI40" i="1" s="1"/>
  <c r="CY40" i="1" a="1"/>
  <c r="CY40" i="1" s="1"/>
  <c r="DH39" i="1" a="1"/>
  <c r="DH39" i="1" s="1"/>
  <c r="CQ39" i="1" a="1"/>
  <c r="CQ39" i="1" s="1"/>
  <c r="CK39" i="1" a="1"/>
  <c r="CK39" i="1" s="1"/>
  <c r="CJ39" i="1" a="1"/>
  <c r="CJ39" i="1" s="1"/>
  <c r="BM40" i="1" a="1"/>
  <c r="BM40" i="1" s="1"/>
  <c r="W40" i="1" a="1"/>
  <c r="W40" i="1" s="1"/>
  <c r="BZ39" i="1" a="1"/>
  <c r="BZ39" i="1" s="1"/>
  <c r="BL39" i="1" a="1"/>
  <c r="BL39" i="1" s="1"/>
  <c r="AC40" i="1" a="1"/>
  <c r="AC40" i="1" s="1"/>
  <c r="CT39" i="1" a="1"/>
  <c r="CT39" i="1" s="1"/>
  <c r="M39" i="1" a="1"/>
  <c r="M39" i="1" s="1"/>
  <c r="L41" i="1" a="1"/>
  <c r="L41" i="1" s="1"/>
  <c r="BM48" i="1"/>
  <c r="BM47" i="1"/>
  <c r="Z48" i="1"/>
  <c r="Z47" i="1"/>
  <c r="DS34" i="1"/>
  <c r="L47" i="1"/>
  <c r="L48" i="1"/>
  <c r="CM34" i="1"/>
  <c r="BP47" i="1"/>
  <c r="BP48" i="1"/>
  <c r="X47" i="1"/>
  <c r="X48" i="1"/>
  <c r="CO34" i="1"/>
  <c r="BF34" i="1"/>
  <c r="CP34" i="1"/>
  <c r="CA41" i="1" a="1"/>
  <c r="CA41" i="1" s="1"/>
  <c r="C31" i="1"/>
  <c r="C34" i="1" s="1"/>
  <c r="E87" i="1" a="1"/>
  <c r="E87" i="1" s="1"/>
  <c r="AV34" i="1"/>
  <c r="BV34" i="1"/>
  <c r="CI48" i="1"/>
  <c r="CI47" i="1"/>
  <c r="BJ34" i="1"/>
  <c r="DP47" i="1"/>
  <c r="DP48" i="1"/>
  <c r="CD48" i="1"/>
  <c r="CD47" i="1"/>
  <c r="AU34" i="1"/>
  <c r="D34" i="1"/>
  <c r="AH47" i="1"/>
  <c r="AH48" i="1"/>
  <c r="BK47" i="1"/>
  <c r="BK48" i="1"/>
  <c r="CM47" i="1"/>
  <c r="CM48" i="1"/>
  <c r="AX40" i="1" a="1"/>
  <c r="AX40" i="1" s="1"/>
  <c r="AC41" i="1" a="1"/>
  <c r="AC41" i="1" s="1"/>
  <c r="BB47" i="1"/>
  <c r="BB48" i="1"/>
  <c r="CQ34" i="1"/>
  <c r="CT40" i="1" a="1"/>
  <c r="CT40" i="1" s="1"/>
  <c r="D47" i="1"/>
  <c r="D48" i="1"/>
  <c r="CV34" i="1"/>
  <c r="J34" i="1"/>
  <c r="BW32" i="1"/>
  <c r="BW34" i="1" s="1"/>
  <c r="E85" i="1"/>
  <c r="DL39" i="1" a="1"/>
  <c r="DL39" i="1" s="1"/>
  <c r="BT41" i="1" a="1"/>
  <c r="BT41" i="1" s="1"/>
  <c r="DB41" i="1" a="1"/>
  <c r="DB41" i="1" s="1"/>
  <c r="BO47" i="1"/>
  <c r="BO48" i="1"/>
  <c r="CZ48" i="1"/>
  <c r="CZ47" i="1"/>
  <c r="AJ47" i="1"/>
  <c r="AJ48" i="1"/>
  <c r="DN48" i="1"/>
  <c r="DN47" i="1"/>
  <c r="CW41" i="1" a="1"/>
  <c r="CW41" i="1" s="1"/>
  <c r="CO41" i="1" a="1"/>
  <c r="CO41" i="1" s="1"/>
  <c r="AO41" i="1" a="1"/>
  <c r="AO41" i="1" s="1"/>
  <c r="CN41" i="1" a="1"/>
  <c r="CN41" i="1" s="1"/>
  <c r="DF41" i="1" a="1"/>
  <c r="DF41" i="1" s="1"/>
  <c r="DG40" i="1" a="1"/>
  <c r="DG40" i="1" s="1"/>
  <c r="BR40" i="1" a="1"/>
  <c r="BR40" i="1" s="1"/>
  <c r="AK41" i="1" a="1"/>
  <c r="AK41" i="1" s="1"/>
  <c r="X39" i="1" a="1"/>
  <c r="X39" i="1" s="1"/>
  <c r="CY41" i="1" a="1"/>
  <c r="CY41" i="1" s="1"/>
  <c r="AS41" i="1" a="1"/>
  <c r="AS41" i="1" s="1"/>
  <c r="CK41" i="1" a="1"/>
  <c r="CK41" i="1" s="1"/>
  <c r="AW39" i="1" a="1"/>
  <c r="AW39" i="1" s="1"/>
  <c r="DS40" i="1" a="1"/>
  <c r="DS40" i="1" s="1"/>
  <c r="AZ41" i="1" a="1"/>
  <c r="AZ41" i="1" s="1"/>
  <c r="CQ41" i="1" a="1"/>
  <c r="CQ41" i="1" s="1"/>
  <c r="N41" i="1" a="1"/>
  <c r="N41" i="1" s="1"/>
  <c r="BH40" i="1" a="1"/>
  <c r="BH40" i="1" s="1"/>
  <c r="BB41" i="1" a="1"/>
  <c r="BB41" i="1" s="1"/>
  <c r="CP41" i="1" a="1"/>
  <c r="CP41" i="1" s="1"/>
  <c r="F34" i="1"/>
  <c r="T47" i="1"/>
  <c r="T48" i="1"/>
  <c r="BQ48" i="1"/>
  <c r="BQ47" i="1"/>
  <c r="CU39" i="1" a="1"/>
  <c r="CU39" i="1" s="1"/>
  <c r="AI40" i="1" a="1"/>
  <c r="AI40" i="1" s="1"/>
  <c r="U39" i="1" a="1"/>
  <c r="U39" i="1" s="1"/>
  <c r="AJ34" i="1"/>
  <c r="O47" i="1"/>
  <c r="O48" i="1"/>
  <c r="W34" i="1"/>
  <c r="AP34" i="1"/>
  <c r="BG48" i="1"/>
  <c r="BG47" i="1"/>
  <c r="Q34" i="1"/>
  <c r="AN34" i="1"/>
  <c r="CG41" i="1" a="1"/>
  <c r="CG41" i="1" s="1"/>
  <c r="BC34" i="1"/>
  <c r="CE34" i="1"/>
  <c r="DB34" i="1"/>
  <c r="DM47" i="1"/>
  <c r="DM48" i="1"/>
  <c r="BZ47" i="1"/>
  <c r="BZ48" i="1"/>
  <c r="CG47" i="1"/>
  <c r="CG48" i="1"/>
  <c r="AD34" i="1"/>
  <c r="CN47" i="1"/>
  <c r="CN48" i="1"/>
  <c r="BB34" i="1"/>
  <c r="AY48" i="1"/>
  <c r="AY47" i="1"/>
  <c r="K34" i="1"/>
  <c r="DS48" i="1"/>
  <c r="DS47" i="1"/>
  <c r="CR34" i="1"/>
  <c r="DS59" i="1"/>
  <c r="DS10" i="1" a="1"/>
  <c r="DS10" i="1" s="1"/>
  <c r="DS11" i="1" s="1"/>
  <c r="O66" i="1" s="1"/>
  <c r="E68" i="1" s="1"/>
  <c r="BD42" i="1" l="1"/>
  <c r="CM43" i="1"/>
  <c r="AH42" i="1"/>
  <c r="DA42" i="1"/>
  <c r="CX43" i="1"/>
  <c r="CI42" i="1"/>
  <c r="E74" i="1"/>
  <c r="AF35" i="1"/>
  <c r="AB43" i="1"/>
  <c r="BQ43" i="1"/>
  <c r="BD36" i="1"/>
  <c r="DH36" i="1"/>
  <c r="E42" i="1"/>
  <c r="CU35" i="1"/>
  <c r="W42" i="1"/>
  <c r="DP42" i="1"/>
  <c r="BP42" i="1"/>
  <c r="AB42" i="1"/>
  <c r="CC42" i="1"/>
  <c r="AL42" i="1"/>
  <c r="AP42" i="1"/>
  <c r="CO43" i="1"/>
  <c r="H42" i="1"/>
  <c r="DQ43" i="1"/>
  <c r="AD42" i="1"/>
  <c r="AY43" i="1"/>
  <c r="AE43" i="1"/>
  <c r="DR43" i="1"/>
  <c r="DM42" i="1"/>
  <c r="C42" i="1"/>
  <c r="AG43" i="1"/>
  <c r="CE42" i="1"/>
  <c r="CR43" i="1"/>
  <c r="BP43" i="1"/>
  <c r="AY42" i="1"/>
  <c r="CM42" i="1"/>
  <c r="CP43" i="1"/>
  <c r="DR42" i="1"/>
  <c r="BQ42" i="1"/>
  <c r="DE42" i="1"/>
  <c r="BO43" i="1"/>
  <c r="AO42" i="1"/>
  <c r="BU36" i="1"/>
  <c r="CF36" i="1"/>
  <c r="BE43" i="1"/>
  <c r="CV43" i="1"/>
  <c r="BC42" i="1"/>
  <c r="AW36" i="1"/>
  <c r="BH42" i="1"/>
  <c r="BM43" i="1"/>
  <c r="G42" i="1"/>
  <c r="DP43" i="1"/>
  <c r="AG42" i="1"/>
  <c r="R42" i="1"/>
  <c r="BR43" i="1"/>
  <c r="CH43" i="1"/>
  <c r="V42" i="1"/>
  <c r="AJ42" i="1"/>
  <c r="DA43" i="1"/>
  <c r="CD42" i="1"/>
  <c r="Q43" i="1"/>
  <c r="CN43" i="1"/>
  <c r="DK43" i="1"/>
  <c r="O36" i="1"/>
  <c r="DM43" i="1"/>
  <c r="BD43" i="1"/>
  <c r="BS42" i="1"/>
  <c r="AP43" i="1"/>
  <c r="AM43" i="1"/>
  <c r="CI35" i="1"/>
  <c r="X36" i="1"/>
  <c r="CQ50" i="1"/>
  <c r="DO43" i="1"/>
  <c r="V43" i="1"/>
  <c r="AH43" i="1"/>
  <c r="F43" i="1"/>
  <c r="BJ42" i="1"/>
  <c r="AX43" i="1"/>
  <c r="BB43" i="1"/>
  <c r="DK42" i="1"/>
  <c r="AR42" i="1"/>
  <c r="CA43" i="1"/>
  <c r="DS42" i="1"/>
  <c r="BA35" i="1"/>
  <c r="H35" i="1"/>
  <c r="CI43" i="1"/>
  <c r="CI54" i="1" s="1"/>
  <c r="DF43" i="1"/>
  <c r="D43" i="1"/>
  <c r="BK42" i="1"/>
  <c r="AA36" i="1"/>
  <c r="BL35" i="1"/>
  <c r="CG36" i="1"/>
  <c r="CH42" i="1"/>
  <c r="AK42" i="1"/>
  <c r="D42" i="1"/>
  <c r="CP42" i="1"/>
  <c r="AZ43" i="1"/>
  <c r="BR42" i="1"/>
  <c r="AM42" i="1"/>
  <c r="BS43" i="1"/>
  <c r="CE43" i="1"/>
  <c r="Y36" i="1"/>
  <c r="F42" i="1"/>
  <c r="DS43" i="1"/>
  <c r="AE42" i="1"/>
  <c r="DB43" i="1"/>
  <c r="AD43" i="1"/>
  <c r="AC42" i="1"/>
  <c r="R43" i="1"/>
  <c r="S35" i="1"/>
  <c r="AH54" i="1"/>
  <c r="S43" i="1"/>
  <c r="S54" i="1" s="1"/>
  <c r="BW43" i="1"/>
  <c r="BV43" i="1"/>
  <c r="Q42" i="1"/>
  <c r="CW43" i="1"/>
  <c r="BH43" i="1"/>
  <c r="L43" i="1"/>
  <c r="AV43" i="1"/>
  <c r="BT42" i="1"/>
  <c r="CS42" i="1"/>
  <c r="G43" i="1"/>
  <c r="DF42" i="1"/>
  <c r="K42" i="1"/>
  <c r="AN43" i="1"/>
  <c r="BP36" i="1"/>
  <c r="BF43" i="1"/>
  <c r="CW36" i="1"/>
  <c r="CR42" i="1"/>
  <c r="AS42" i="1"/>
  <c r="DL36" i="1"/>
  <c r="BO42" i="1"/>
  <c r="DE43" i="1"/>
  <c r="AI36" i="1"/>
  <c r="BK36" i="1"/>
  <c r="M35" i="1"/>
  <c r="V50" i="1"/>
  <c r="DA50" i="1"/>
  <c r="DG50" i="1"/>
  <c r="T35" i="1"/>
  <c r="AQ50" i="1"/>
  <c r="E43" i="1"/>
  <c r="BK43" i="1"/>
  <c r="AH35" i="1"/>
  <c r="AU43" i="1"/>
  <c r="BM42" i="1"/>
  <c r="BW42" i="1"/>
  <c r="BE50" i="1"/>
  <c r="AJ43" i="1"/>
  <c r="CX42" i="1"/>
  <c r="DI36" i="1"/>
  <c r="S42" i="1"/>
  <c r="BT43" i="1"/>
  <c r="BV42" i="1"/>
  <c r="BJ43" i="1"/>
  <c r="R36" i="1"/>
  <c r="AO43" i="1"/>
  <c r="CB36" i="1"/>
  <c r="H50" i="1"/>
  <c r="AI42" i="1"/>
  <c r="DC43" i="1"/>
  <c r="DG42" i="1"/>
  <c r="AR43" i="1"/>
  <c r="CZ35" i="1"/>
  <c r="BF42" i="1"/>
  <c r="CN42" i="1"/>
  <c r="CC43" i="1"/>
  <c r="P42" i="1"/>
  <c r="CY43" i="1"/>
  <c r="AY50" i="1"/>
  <c r="AA50" i="1"/>
  <c r="CS43" i="1"/>
  <c r="CY50" i="1"/>
  <c r="BH50" i="1"/>
  <c r="CU50" i="1"/>
  <c r="DN50" i="1"/>
  <c r="CI50" i="1"/>
  <c r="S50" i="1"/>
  <c r="DF50" i="1"/>
  <c r="CZ50" i="1"/>
  <c r="CE50" i="1"/>
  <c r="K50" i="1"/>
  <c r="W50" i="1"/>
  <c r="DE50" i="1"/>
  <c r="DS50" i="1"/>
  <c r="BL50" i="1"/>
  <c r="T50" i="1"/>
  <c r="AE50" i="1"/>
  <c r="X50" i="1"/>
  <c r="Q50" i="1"/>
  <c r="BS50" i="1"/>
  <c r="DD50" i="1"/>
  <c r="N35" i="1"/>
  <c r="AR50" i="1"/>
  <c r="BZ50" i="1"/>
  <c r="AH50" i="1"/>
  <c r="Z50" i="1"/>
  <c r="DO50" i="1"/>
  <c r="AX50" i="1"/>
  <c r="DB50" i="1"/>
  <c r="D50" i="1"/>
  <c r="DP50" i="1"/>
  <c r="L50" i="1"/>
  <c r="AP50" i="1"/>
  <c r="BY35" i="1"/>
  <c r="BM50" i="1"/>
  <c r="O50" i="1"/>
  <c r="BZ35" i="1"/>
  <c r="BW50" i="1"/>
  <c r="AF50" i="1"/>
  <c r="AK50" i="1"/>
  <c r="CH50" i="1"/>
  <c r="CA50" i="1"/>
  <c r="CX50" i="1"/>
  <c r="AL50" i="1"/>
  <c r="BR50" i="1"/>
  <c r="CH36" i="1"/>
  <c r="DC50" i="1"/>
  <c r="AM50" i="1"/>
  <c r="BI50" i="1"/>
  <c r="CV50" i="1"/>
  <c r="R50" i="1"/>
  <c r="R55" i="1" s="1"/>
  <c r="BJ50" i="1"/>
  <c r="BY50" i="1"/>
  <c r="CM50" i="1"/>
  <c r="P50" i="1"/>
  <c r="DK50" i="1"/>
  <c r="M50" i="1"/>
  <c r="DR50" i="1"/>
  <c r="AD50" i="1"/>
  <c r="BF50" i="1"/>
  <c r="CG50" i="1"/>
  <c r="C50" i="1"/>
  <c r="AN50" i="1"/>
  <c r="BN50" i="1"/>
  <c r="U50" i="1"/>
  <c r="CB50" i="1"/>
  <c r="CO50" i="1"/>
  <c r="J50" i="1"/>
  <c r="CK50" i="1"/>
  <c r="CT50" i="1"/>
  <c r="I35" i="1"/>
  <c r="AW50" i="1"/>
  <c r="AJ50" i="1"/>
  <c r="DJ50" i="1"/>
  <c r="BD50" i="1"/>
  <c r="BD55" i="1" s="1"/>
  <c r="DI50" i="1"/>
  <c r="BU50" i="1"/>
  <c r="BQ50" i="1"/>
  <c r="CL35" i="1"/>
  <c r="I50" i="1"/>
  <c r="Y50" i="1"/>
  <c r="AB50" i="1"/>
  <c r="CP50" i="1"/>
  <c r="CC50" i="1"/>
  <c r="AO50" i="1"/>
  <c r="BC50" i="1"/>
  <c r="AT50" i="1"/>
  <c r="BG50" i="1"/>
  <c r="DQ50" i="1"/>
  <c r="G50" i="1"/>
  <c r="AV50" i="1"/>
  <c r="E50" i="1"/>
  <c r="AG50" i="1"/>
  <c r="BR36" i="1"/>
  <c r="CJ50" i="1"/>
  <c r="BA50" i="1"/>
  <c r="N50" i="1"/>
  <c r="AZ50" i="1"/>
  <c r="CW50" i="1"/>
  <c r="BN35" i="1"/>
  <c r="CS50" i="1"/>
  <c r="BX50" i="1"/>
  <c r="BK50" i="1"/>
  <c r="AI50" i="1"/>
  <c r="CL50" i="1"/>
  <c r="BB50" i="1"/>
  <c r="CN50" i="1"/>
  <c r="BP50" i="1"/>
  <c r="BO50" i="1"/>
  <c r="CR50" i="1"/>
  <c r="CF50" i="1"/>
  <c r="AU50" i="1"/>
  <c r="DM50" i="1"/>
  <c r="CD50" i="1"/>
  <c r="AC50" i="1"/>
  <c r="BV50" i="1"/>
  <c r="F50" i="1"/>
  <c r="DL50" i="1"/>
  <c r="AS50" i="1"/>
  <c r="DH50" i="1"/>
  <c r="BT50" i="1"/>
  <c r="BW35" i="1"/>
  <c r="BW36" i="1"/>
  <c r="X42" i="1"/>
  <c r="X43" i="1"/>
  <c r="AR35" i="1"/>
  <c r="AR36" i="1"/>
  <c r="I42" i="1"/>
  <c r="I43" i="1"/>
  <c r="I54" i="1" s="1"/>
  <c r="CT35" i="1"/>
  <c r="CT36" i="1"/>
  <c r="AQ42" i="1"/>
  <c r="AQ43" i="1"/>
  <c r="AQ54" i="1" s="1"/>
  <c r="AD36" i="1"/>
  <c r="AD35" i="1"/>
  <c r="BB36" i="1"/>
  <c r="BB54" i="1" s="1"/>
  <c r="BB35" i="1"/>
  <c r="J36" i="1"/>
  <c r="J35" i="1"/>
  <c r="AU36" i="1"/>
  <c r="AU35" i="1"/>
  <c r="AV36" i="1"/>
  <c r="AV35" i="1"/>
  <c r="AZ42" i="1"/>
  <c r="BN43" i="1"/>
  <c r="BN54" i="1" s="1"/>
  <c r="BN42" i="1"/>
  <c r="CS36" i="1"/>
  <c r="CS35" i="1"/>
  <c r="AV42" i="1"/>
  <c r="AL43" i="1"/>
  <c r="AY36" i="1"/>
  <c r="AY35" i="1"/>
  <c r="AF42" i="1"/>
  <c r="AF43" i="1"/>
  <c r="AF54" i="1" s="1"/>
  <c r="DO35" i="1"/>
  <c r="DO36" i="1"/>
  <c r="AX42" i="1"/>
  <c r="AP36" i="1"/>
  <c r="AP35" i="1"/>
  <c r="CV36" i="1"/>
  <c r="CV35" i="1"/>
  <c r="CM36" i="1"/>
  <c r="CM54" i="1" s="1"/>
  <c r="CM35" i="1"/>
  <c r="DG35" i="1"/>
  <c r="DG36" i="1"/>
  <c r="BA42" i="1"/>
  <c r="BA43" i="1"/>
  <c r="BA54" i="1" s="1"/>
  <c r="BQ35" i="1"/>
  <c r="BQ36" i="1"/>
  <c r="BI36" i="1"/>
  <c r="BI35" i="1"/>
  <c r="DQ36" i="1"/>
  <c r="DQ35" i="1"/>
  <c r="U35" i="1"/>
  <c r="U36" i="1"/>
  <c r="DE35" i="1"/>
  <c r="DE36" i="1"/>
  <c r="W36" i="1"/>
  <c r="W35" i="1"/>
  <c r="C35" i="1"/>
  <c r="E88" i="1"/>
  <c r="C36" i="1"/>
  <c r="BL43" i="1"/>
  <c r="BL54" i="1" s="1"/>
  <c r="BL42" i="1"/>
  <c r="DN36" i="1"/>
  <c r="DN35" i="1"/>
  <c r="BS35" i="1"/>
  <c r="BS36" i="1"/>
  <c r="CN36" i="1"/>
  <c r="CN35" i="1"/>
  <c r="AK43" i="1"/>
  <c r="AC35" i="1"/>
  <c r="AC36" i="1"/>
  <c r="N43" i="1"/>
  <c r="N54" i="1" s="1"/>
  <c r="N42" i="1"/>
  <c r="DB36" i="1"/>
  <c r="DB35" i="1"/>
  <c r="CW42" i="1"/>
  <c r="DF35" i="1"/>
  <c r="DF36" i="1"/>
  <c r="BT35" i="1"/>
  <c r="BT36" i="1"/>
  <c r="J42" i="1"/>
  <c r="J43" i="1"/>
  <c r="C43" i="1"/>
  <c r="CV42" i="1"/>
  <c r="L42" i="1"/>
  <c r="BJ36" i="1"/>
  <c r="BJ35" i="1"/>
  <c r="DS35" i="1"/>
  <c r="DS36" i="1"/>
  <c r="M42" i="1"/>
  <c r="M43" i="1"/>
  <c r="M54" i="1" s="1"/>
  <c r="AX36" i="1"/>
  <c r="AX35" i="1"/>
  <c r="AK36" i="1"/>
  <c r="AK35" i="1"/>
  <c r="H43" i="1"/>
  <c r="H54" i="1" s="1"/>
  <c r="AM35" i="1"/>
  <c r="AM36" i="1"/>
  <c r="P43" i="1"/>
  <c r="DO42" i="1"/>
  <c r="V35" i="1"/>
  <c r="V36" i="1"/>
  <c r="AZ36" i="1"/>
  <c r="AZ35" i="1"/>
  <c r="DC42" i="1"/>
  <c r="AE36" i="1"/>
  <c r="AE54" i="1" s="1"/>
  <c r="AE35" i="1"/>
  <c r="DB42" i="1"/>
  <c r="DQ42" i="1"/>
  <c r="BI43" i="1"/>
  <c r="BI42" i="1"/>
  <c r="CG42" i="1"/>
  <c r="CG43" i="1"/>
  <c r="DN42" i="1"/>
  <c r="DN43" i="1"/>
  <c r="BY43" i="1"/>
  <c r="BY54" i="1" s="1"/>
  <c r="BY42" i="1"/>
  <c r="CK35" i="1"/>
  <c r="CK36" i="1"/>
  <c r="CE36" i="1"/>
  <c r="CE35" i="1"/>
  <c r="BC43" i="1"/>
  <c r="BE35" i="1"/>
  <c r="BE36" i="1"/>
  <c r="BE54" i="1" s="1"/>
  <c r="AU42" i="1"/>
  <c r="AB36" i="1"/>
  <c r="AB54" i="1" s="1"/>
  <c r="AB35" i="1"/>
  <c r="K36" i="1"/>
  <c r="K54" i="1" s="1"/>
  <c r="K58" i="1" s="1"/>
  <c r="K35" i="1"/>
  <c r="AN35" i="1"/>
  <c r="AN36" i="1"/>
  <c r="AJ36" i="1"/>
  <c r="AJ35" i="1"/>
  <c r="AW43" i="1"/>
  <c r="AW42" i="1"/>
  <c r="CO42" i="1"/>
  <c r="AG35" i="1"/>
  <c r="AG36" i="1"/>
  <c r="DP36" i="1"/>
  <c r="DP35" i="1"/>
  <c r="DJ43" i="1"/>
  <c r="DJ42" i="1"/>
  <c r="BZ42" i="1"/>
  <c r="BZ43" i="1"/>
  <c r="BZ54" i="1" s="1"/>
  <c r="DJ36" i="1"/>
  <c r="DJ35" i="1"/>
  <c r="CY35" i="1"/>
  <c r="CY36" i="1"/>
  <c r="CC36" i="1"/>
  <c r="CC35" i="1"/>
  <c r="DI42" i="1"/>
  <c r="DI43" i="1"/>
  <c r="DG43" i="1"/>
  <c r="DA36" i="1"/>
  <c r="DA35" i="1"/>
  <c r="BC35" i="1"/>
  <c r="BC36" i="1"/>
  <c r="P36" i="1"/>
  <c r="P35" i="1"/>
  <c r="AT35" i="1"/>
  <c r="AT36" i="1"/>
  <c r="CA42" i="1"/>
  <c r="E35" i="1"/>
  <c r="E36" i="1"/>
  <c r="DM36" i="1"/>
  <c r="DM35" i="1"/>
  <c r="G36" i="1"/>
  <c r="G35" i="1"/>
  <c r="CK43" i="1"/>
  <c r="CK42" i="1"/>
  <c r="CB43" i="1"/>
  <c r="CB42" i="1"/>
  <c r="AS36" i="1"/>
  <c r="AS35" i="1"/>
  <c r="BE42" i="1"/>
  <c r="BM36" i="1"/>
  <c r="BM35" i="1"/>
  <c r="AT43" i="1"/>
  <c r="AT42" i="1"/>
  <c r="CD36" i="1"/>
  <c r="CD35" i="1"/>
  <c r="BU43" i="1"/>
  <c r="BU42" i="1"/>
  <c r="O42" i="1"/>
  <c r="O43" i="1"/>
  <c r="AS43" i="1"/>
  <c r="CA36" i="1"/>
  <c r="CA35" i="1"/>
  <c r="BX36" i="1"/>
  <c r="BX35" i="1"/>
  <c r="Z43" i="1"/>
  <c r="Z42" i="1"/>
  <c r="DK35" i="1"/>
  <c r="DK36" i="1"/>
  <c r="CZ42" i="1"/>
  <c r="CZ43" i="1"/>
  <c r="CZ54" i="1" s="1"/>
  <c r="AI43" i="1"/>
  <c r="CP36" i="1"/>
  <c r="CP35" i="1"/>
  <c r="BF35" i="1"/>
  <c r="BF36" i="1"/>
  <c r="AO36" i="1"/>
  <c r="AO35" i="1"/>
  <c r="CD43" i="1"/>
  <c r="CL43" i="1"/>
  <c r="CL54" i="1" s="1"/>
  <c r="CL42" i="1"/>
  <c r="F35" i="1"/>
  <c r="F36" i="1"/>
  <c r="CJ42" i="1"/>
  <c r="CJ43" i="1"/>
  <c r="AN42" i="1"/>
  <c r="CF42" i="1"/>
  <c r="CF43" i="1"/>
  <c r="AC43" i="1"/>
  <c r="BH36" i="1"/>
  <c r="BH35" i="1"/>
  <c r="Z36" i="1"/>
  <c r="Z35" i="1"/>
  <c r="CY42" i="1"/>
  <c r="AL36" i="1"/>
  <c r="AL35" i="1"/>
  <c r="CR36" i="1"/>
  <c r="CR35" i="1"/>
  <c r="DD42" i="1"/>
  <c r="DD43" i="1"/>
  <c r="DD54" i="1" s="1"/>
  <c r="CO36" i="1"/>
  <c r="CO35" i="1"/>
  <c r="T43" i="1"/>
  <c r="T54" i="1" s="1"/>
  <c r="T42" i="1"/>
  <c r="L35" i="1"/>
  <c r="L36" i="1"/>
  <c r="BB42" i="1"/>
  <c r="CT43" i="1"/>
  <c r="CT42" i="1"/>
  <c r="Q36" i="1"/>
  <c r="Q35" i="1"/>
  <c r="U43" i="1"/>
  <c r="U42" i="1"/>
  <c r="DL42" i="1"/>
  <c r="DL43" i="1"/>
  <c r="CQ36" i="1"/>
  <c r="CQ35" i="1"/>
  <c r="CQ42" i="1"/>
  <c r="CQ43" i="1"/>
  <c r="W43" i="1"/>
  <c r="Y42" i="1"/>
  <c r="Y43" i="1"/>
  <c r="AA42" i="1"/>
  <c r="AA43" i="1"/>
  <c r="DR35" i="1"/>
  <c r="DR36" i="1"/>
  <c r="DR54" i="1" s="1"/>
  <c r="CU43" i="1"/>
  <c r="CU54" i="1" s="1"/>
  <c r="CU42" i="1"/>
  <c r="D36" i="1"/>
  <c r="D35" i="1"/>
  <c r="BV35" i="1"/>
  <c r="BV36" i="1"/>
  <c r="DH42" i="1"/>
  <c r="DH43" i="1"/>
  <c r="DH54" i="1" s="1"/>
  <c r="BO36" i="1"/>
  <c r="BO35" i="1"/>
  <c r="BX42" i="1"/>
  <c r="BX43" i="1"/>
  <c r="DC36" i="1"/>
  <c r="DC35" i="1"/>
  <c r="CX35" i="1"/>
  <c r="CX36" i="1"/>
  <c r="CJ36" i="1"/>
  <c r="CJ35" i="1"/>
  <c r="BG42" i="1"/>
  <c r="BG43" i="1"/>
  <c r="BG54" i="1" s="1"/>
  <c r="DS13" i="1"/>
  <c r="DS17" i="1" s="1"/>
  <c r="DS12" i="1"/>
  <c r="O68" i="1" s="1"/>
  <c r="E81" i="1"/>
  <c r="CX54" i="1" l="1"/>
  <c r="BQ54" i="1"/>
  <c r="BD54" i="1"/>
  <c r="BU54" i="1"/>
  <c r="AV54" i="1"/>
  <c r="BP54" i="1"/>
  <c r="O54" i="1"/>
  <c r="O58" i="1" s="1"/>
  <c r="CO54" i="1"/>
  <c r="DA54" i="1"/>
  <c r="BP55" i="1"/>
  <c r="CF54" i="1"/>
  <c r="DQ54" i="1"/>
  <c r="AY54" i="1"/>
  <c r="AG54" i="1"/>
  <c r="CR54" i="1"/>
  <c r="Q54" i="1"/>
  <c r="BO54" i="1"/>
  <c r="BR54" i="1"/>
  <c r="CP54" i="1"/>
  <c r="AW54" i="1"/>
  <c r="DK54" i="1"/>
  <c r="CV54" i="1"/>
  <c r="BM54" i="1"/>
  <c r="CH54" i="1"/>
  <c r="DM54" i="1"/>
  <c r="CN54" i="1"/>
  <c r="BR55" i="1"/>
  <c r="DF54" i="1"/>
  <c r="DP54" i="1"/>
  <c r="V54" i="1"/>
  <c r="AL55" i="1"/>
  <c r="CA54" i="1"/>
  <c r="AZ54" i="1"/>
  <c r="DE54" i="1"/>
  <c r="R54" i="1"/>
  <c r="X54" i="1"/>
  <c r="AM54" i="1"/>
  <c r="AP54" i="1"/>
  <c r="AD54" i="1"/>
  <c r="CC54" i="1"/>
  <c r="DB54" i="1"/>
  <c r="CG55" i="1"/>
  <c r="AU54" i="1"/>
  <c r="CI55" i="1"/>
  <c r="CI56" i="1" s="1"/>
  <c r="CI58" i="1" s="1"/>
  <c r="CH55" i="1"/>
  <c r="BH54" i="1"/>
  <c r="DO54" i="1"/>
  <c r="H55" i="1"/>
  <c r="H56" i="1" s="1"/>
  <c r="H60" i="1" s="1"/>
  <c r="H62" i="1" s="1"/>
  <c r="BK54" i="1"/>
  <c r="CY54" i="1"/>
  <c r="BJ54" i="1"/>
  <c r="AA54" i="1"/>
  <c r="BK55" i="1"/>
  <c r="DH55" i="1"/>
  <c r="DH56" i="1" s="1"/>
  <c r="DH60" i="1" s="1"/>
  <c r="AW55" i="1"/>
  <c r="AX54" i="1"/>
  <c r="L54" i="1"/>
  <c r="L58" i="1" s="1"/>
  <c r="F54" i="1"/>
  <c r="F58" i="1" s="1"/>
  <c r="CW54" i="1"/>
  <c r="AT54" i="1"/>
  <c r="CG54" i="1"/>
  <c r="BF54" i="1"/>
  <c r="D54" i="1"/>
  <c r="D58" i="1" s="1"/>
  <c r="DS54" i="1"/>
  <c r="DL54" i="1"/>
  <c r="DK55" i="1"/>
  <c r="AI54" i="1"/>
  <c r="DC54" i="1"/>
  <c r="BS54" i="1"/>
  <c r="DA55" i="1"/>
  <c r="BW54" i="1"/>
  <c r="DI54" i="1"/>
  <c r="J55" i="1"/>
  <c r="DE55" i="1"/>
  <c r="AA55" i="1"/>
  <c r="AO54" i="1"/>
  <c r="S55" i="1"/>
  <c r="S56" i="1" s="1"/>
  <c r="S58" i="1" s="1"/>
  <c r="V55" i="1"/>
  <c r="Y54" i="1"/>
  <c r="CD54" i="1"/>
  <c r="CE54" i="1"/>
  <c r="AY55" i="1"/>
  <c r="G54" i="1"/>
  <c r="G58" i="1" s="1"/>
  <c r="AN54" i="1"/>
  <c r="BV54" i="1"/>
  <c r="DI55" i="1"/>
  <c r="BH55" i="1"/>
  <c r="DG55" i="1"/>
  <c r="Q55" i="1"/>
  <c r="CU55" i="1"/>
  <c r="CU56" i="1" s="1"/>
  <c r="CX55" i="1"/>
  <c r="CX56" i="1" s="1"/>
  <c r="CX60" i="1" s="1"/>
  <c r="AC55" i="1"/>
  <c r="K55" i="1"/>
  <c r="K56" i="1" s="1"/>
  <c r="K60" i="1" s="1"/>
  <c r="K62" i="1" s="1"/>
  <c r="AQ55" i="1"/>
  <c r="AQ56" i="1" s="1"/>
  <c r="AQ58" i="1" s="1"/>
  <c r="DF55" i="1"/>
  <c r="AH55" i="1"/>
  <c r="AH56" i="1" s="1"/>
  <c r="AH58" i="1" s="1"/>
  <c r="DJ54" i="1"/>
  <c r="AL54" i="1"/>
  <c r="AJ54" i="1"/>
  <c r="AF55" i="1"/>
  <c r="AF56" i="1" s="1"/>
  <c r="AF58" i="1" s="1"/>
  <c r="M55" i="1"/>
  <c r="M56" i="1" s="1"/>
  <c r="M60" i="1" s="1"/>
  <c r="M62" i="1" s="1"/>
  <c r="CZ55" i="1"/>
  <c r="CZ56" i="1" s="1"/>
  <c r="CZ60" i="1" s="1"/>
  <c r="E54" i="1"/>
  <c r="E58" i="1" s="1"/>
  <c r="AS54" i="1"/>
  <c r="CB54" i="1"/>
  <c r="AI55" i="1"/>
  <c r="BT54" i="1"/>
  <c r="AR54" i="1"/>
  <c r="CS54" i="1"/>
  <c r="X55" i="1"/>
  <c r="AP55" i="1"/>
  <c r="CE55" i="1"/>
  <c r="DS55" i="1"/>
  <c r="W55" i="1"/>
  <c r="CB55" i="1"/>
  <c r="BJ55" i="1"/>
  <c r="AK55" i="1"/>
  <c r="T55" i="1"/>
  <c r="T56" i="1" s="1"/>
  <c r="T58" i="1" s="1"/>
  <c r="BL55" i="1"/>
  <c r="BL56" i="1" s="1"/>
  <c r="BL60" i="1" s="1"/>
  <c r="CD55" i="1"/>
  <c r="D55" i="1"/>
  <c r="DD55" i="1"/>
  <c r="DD56" i="1" s="1"/>
  <c r="DD60" i="1" s="1"/>
  <c r="P55" i="1"/>
  <c r="L55" i="1"/>
  <c r="BS55" i="1"/>
  <c r="DC55" i="1"/>
  <c r="AE55" i="1"/>
  <c r="AE56" i="1" s="1"/>
  <c r="AE58" i="1" s="1"/>
  <c r="E55" i="1"/>
  <c r="DP55" i="1"/>
  <c r="N55" i="1"/>
  <c r="N56" i="1" s="1"/>
  <c r="N60" i="1" s="1"/>
  <c r="N62" i="1" s="1"/>
  <c r="BY55" i="1"/>
  <c r="BY56" i="1" s="1"/>
  <c r="BY60" i="1" s="1"/>
  <c r="DO55" i="1"/>
  <c r="BF55" i="1"/>
  <c r="CP55" i="1"/>
  <c r="AR55" i="1"/>
  <c r="BU55" i="1"/>
  <c r="BU56" i="1" s="1"/>
  <c r="BU60" i="1" s="1"/>
  <c r="AM55" i="1"/>
  <c r="BW55" i="1"/>
  <c r="BM55" i="1"/>
  <c r="DL55" i="1"/>
  <c r="DR55" i="1"/>
  <c r="DR56" i="1" s="1"/>
  <c r="AJ55" i="1"/>
  <c r="CN55" i="1"/>
  <c r="BZ55" i="1"/>
  <c r="BZ56" i="1" s="1"/>
  <c r="CJ55" i="1"/>
  <c r="AD55" i="1"/>
  <c r="O55" i="1"/>
  <c r="AN55" i="1"/>
  <c r="CM55" i="1"/>
  <c r="CM56" i="1" s="1"/>
  <c r="CM60" i="1" s="1"/>
  <c r="DM55" i="1"/>
  <c r="G55" i="1"/>
  <c r="BC55" i="1"/>
  <c r="AZ55" i="1"/>
  <c r="AZ56" i="1" s="1"/>
  <c r="AZ60" i="1" s="1"/>
  <c r="DJ55" i="1"/>
  <c r="BX55" i="1"/>
  <c r="BQ55" i="1"/>
  <c r="BQ56" i="1" s="1"/>
  <c r="BQ60" i="1" s="1"/>
  <c r="CS55" i="1"/>
  <c r="I55" i="1"/>
  <c r="I56" i="1" s="1"/>
  <c r="I60" i="1" s="1"/>
  <c r="I62" i="1" s="1"/>
  <c r="CR55" i="1"/>
  <c r="CR56" i="1" s="1"/>
  <c r="C55" i="1"/>
  <c r="AO55" i="1"/>
  <c r="AS55" i="1"/>
  <c r="CK55" i="1"/>
  <c r="BA55" i="1"/>
  <c r="BA56" i="1" s="1"/>
  <c r="BA60" i="1" s="1"/>
  <c r="CC55" i="1"/>
  <c r="Z54" i="1"/>
  <c r="F55" i="1"/>
  <c r="AB55" i="1"/>
  <c r="AB56" i="1" s="1"/>
  <c r="Y55" i="1"/>
  <c r="W54" i="1"/>
  <c r="CL55" i="1"/>
  <c r="CL56" i="1" s="1"/>
  <c r="CL58" i="1" s="1"/>
  <c r="E90" i="1"/>
  <c r="CF55" i="1"/>
  <c r="BT55" i="1"/>
  <c r="BO55" i="1"/>
  <c r="BG55" i="1"/>
  <c r="BG56" i="1" s="1"/>
  <c r="BG60" i="1" s="1"/>
  <c r="P54" i="1"/>
  <c r="CW55" i="1"/>
  <c r="R56" i="1"/>
  <c r="R58" i="1" s="1"/>
  <c r="AG55" i="1"/>
  <c r="BN55" i="1"/>
  <c r="BN56" i="1" s="1"/>
  <c r="BN60" i="1" s="1"/>
  <c r="CJ54" i="1"/>
  <c r="BV55" i="1"/>
  <c r="CY55" i="1"/>
  <c r="BD56" i="1"/>
  <c r="BD60" i="1" s="1"/>
  <c r="AX55" i="1"/>
  <c r="AC54" i="1"/>
  <c r="U54" i="1"/>
  <c r="J54" i="1"/>
  <c r="N58" i="1"/>
  <c r="E89" i="1"/>
  <c r="CO55" i="1"/>
  <c r="CO56" i="1" s="1"/>
  <c r="CK54" i="1"/>
  <c r="U55" i="1"/>
  <c r="DG54" i="1"/>
  <c r="BB55" i="1"/>
  <c r="BB56" i="1" s="1"/>
  <c r="AK54" i="1"/>
  <c r="C54" i="1"/>
  <c r="DQ55" i="1"/>
  <c r="AT55" i="1"/>
  <c r="BI55" i="1"/>
  <c r="CQ54" i="1"/>
  <c r="AV55" i="1"/>
  <c r="AV56" i="1" s="1"/>
  <c r="AV58" i="1" s="1"/>
  <c r="H58" i="1"/>
  <c r="BI54" i="1"/>
  <c r="CV55" i="1"/>
  <c r="M58" i="1"/>
  <c r="BX54" i="1"/>
  <c r="BE55" i="1"/>
  <c r="BE56" i="1" s="1"/>
  <c r="DB55" i="1"/>
  <c r="DN55" i="1"/>
  <c r="AU55" i="1"/>
  <c r="CT54" i="1"/>
  <c r="CQ55" i="1"/>
  <c r="Z55" i="1"/>
  <c r="BP56" i="1"/>
  <c r="BP60" i="1" s="1"/>
  <c r="CA55" i="1"/>
  <c r="BC54" i="1"/>
  <c r="I58" i="1"/>
  <c r="DN54" i="1"/>
  <c r="CT55" i="1"/>
  <c r="O67" i="1"/>
  <c r="DA56" i="1" l="1"/>
  <c r="DA60" i="1" s="1"/>
  <c r="O56" i="1"/>
  <c r="O60" i="1" s="1"/>
  <c r="O62" i="1" s="1"/>
  <c r="AC56" i="1"/>
  <c r="AC58" i="1" s="1"/>
  <c r="AG56" i="1"/>
  <c r="AG58" i="1" s="1"/>
  <c r="CF56" i="1"/>
  <c r="CF60" i="1" s="1"/>
  <c r="AY56" i="1"/>
  <c r="AY58" i="1" s="1"/>
  <c r="DQ56" i="1"/>
  <c r="DQ58" i="1" s="1"/>
  <c r="BO56" i="1"/>
  <c r="BO60" i="1" s="1"/>
  <c r="V56" i="1"/>
  <c r="V58" i="1" s="1"/>
  <c r="CD56" i="1"/>
  <c r="CD60" i="1" s="1"/>
  <c r="DO56" i="1"/>
  <c r="DO60" i="1" s="1"/>
  <c r="CH56" i="1"/>
  <c r="CH60" i="1" s="1"/>
  <c r="BH56" i="1"/>
  <c r="BH60" i="1" s="1"/>
  <c r="BR56" i="1"/>
  <c r="BR60" i="1" s="1"/>
  <c r="CP56" i="1"/>
  <c r="CP58" i="1" s="1"/>
  <c r="AX56" i="1"/>
  <c r="AX58" i="1" s="1"/>
  <c r="CA56" i="1"/>
  <c r="CA60" i="1" s="1"/>
  <c r="X56" i="1"/>
  <c r="X58" i="1" s="1"/>
  <c r="DE56" i="1"/>
  <c r="DE58" i="1" s="1"/>
  <c r="AW56" i="1"/>
  <c r="AW58" i="1" s="1"/>
  <c r="DK56" i="1"/>
  <c r="DK58" i="1" s="1"/>
  <c r="Q56" i="1"/>
  <c r="Q58" i="1" s="1"/>
  <c r="AL56" i="1"/>
  <c r="AL58" i="1" s="1"/>
  <c r="W56" i="1"/>
  <c r="W58" i="1" s="1"/>
  <c r="Y56" i="1"/>
  <c r="Y58" i="1" s="1"/>
  <c r="AI56" i="1"/>
  <c r="AI58" i="1" s="1"/>
  <c r="AU56" i="1"/>
  <c r="AU58" i="1" s="1"/>
  <c r="CN56" i="1"/>
  <c r="CN58" i="1" s="1"/>
  <c r="DF56" i="1"/>
  <c r="DF58" i="1" s="1"/>
  <c r="DP56" i="1"/>
  <c r="DP60" i="1" s="1"/>
  <c r="CV56" i="1"/>
  <c r="CV58" i="1" s="1"/>
  <c r="BM56" i="1"/>
  <c r="BM60" i="1" s="1"/>
  <c r="DM56" i="1"/>
  <c r="DM60" i="1" s="1"/>
  <c r="BK56" i="1"/>
  <c r="BK60" i="1" s="1"/>
  <c r="DB56" i="1"/>
  <c r="DB60" i="1" s="1"/>
  <c r="G56" i="1"/>
  <c r="G60" i="1" s="1"/>
  <c r="G62" i="1" s="1"/>
  <c r="D56" i="1"/>
  <c r="D60" i="1" s="1"/>
  <c r="D62" i="1" s="1"/>
  <c r="P56" i="1"/>
  <c r="P58" i="1" s="1"/>
  <c r="DL56" i="1"/>
  <c r="DL60" i="1" s="1"/>
  <c r="AP56" i="1"/>
  <c r="AP58" i="1" s="1"/>
  <c r="AD56" i="1"/>
  <c r="AD58" i="1" s="1"/>
  <c r="CG56" i="1"/>
  <c r="CG60" i="1" s="1"/>
  <c r="BJ56" i="1"/>
  <c r="BJ60" i="1" s="1"/>
  <c r="CC56" i="1"/>
  <c r="CC60" i="1" s="1"/>
  <c r="CY56" i="1"/>
  <c r="CY60" i="1" s="1"/>
  <c r="AA56" i="1"/>
  <c r="AA58" i="1" s="1"/>
  <c r="AM56" i="1"/>
  <c r="AM58" i="1" s="1"/>
  <c r="F56" i="1"/>
  <c r="F60" i="1" s="1"/>
  <c r="F62" i="1" s="1"/>
  <c r="BF56" i="1"/>
  <c r="BF60" i="1" s="1"/>
  <c r="DS56" i="1"/>
  <c r="DS58" i="1" s="1"/>
  <c r="L56" i="1"/>
  <c r="L60" i="1" s="1"/>
  <c r="L62" i="1" s="1"/>
  <c r="AT56" i="1"/>
  <c r="AT58" i="1" s="1"/>
  <c r="CW56" i="1"/>
  <c r="CW58" i="1" s="1"/>
  <c r="DI56" i="1"/>
  <c r="DI60" i="1" s="1"/>
  <c r="BS56" i="1"/>
  <c r="BS60" i="1" s="1"/>
  <c r="CE56" i="1"/>
  <c r="CE58" i="1" s="1"/>
  <c r="AO56" i="1"/>
  <c r="AO58" i="1" s="1"/>
  <c r="BW56" i="1"/>
  <c r="BW60" i="1" s="1"/>
  <c r="BV56" i="1"/>
  <c r="BV60" i="1" s="1"/>
  <c r="DC56" i="1"/>
  <c r="DC60" i="1" s="1"/>
  <c r="AN56" i="1"/>
  <c r="AN58" i="1" s="1"/>
  <c r="DJ56" i="1"/>
  <c r="DJ58" i="1" s="1"/>
  <c r="BT56" i="1"/>
  <c r="BT60" i="1" s="1"/>
  <c r="CB56" i="1"/>
  <c r="CB58" i="1" s="1"/>
  <c r="AR56" i="1"/>
  <c r="AR58" i="1" s="1"/>
  <c r="K67" i="1"/>
  <c r="AJ56" i="1"/>
  <c r="AJ58" i="1" s="1"/>
  <c r="CS56" i="1"/>
  <c r="CS60" i="1" s="1"/>
  <c r="E56" i="1"/>
  <c r="E60" i="1" s="1"/>
  <c r="E62" i="1" s="1"/>
  <c r="CI60" i="1"/>
  <c r="AS56" i="1"/>
  <c r="AS58" i="1" s="1"/>
  <c r="AK56" i="1"/>
  <c r="AK58" i="1" s="1"/>
  <c r="CX58" i="1"/>
  <c r="DR60" i="1"/>
  <c r="DR58" i="1"/>
  <c r="BL58" i="1"/>
  <c r="CJ56" i="1"/>
  <c r="CJ60" i="1" s="1"/>
  <c r="BZ60" i="1"/>
  <c r="BZ58" i="1"/>
  <c r="DH58" i="1"/>
  <c r="Z56" i="1"/>
  <c r="Z58" i="1" s="1"/>
  <c r="BU58" i="1"/>
  <c r="CK56" i="1"/>
  <c r="CK58" i="1" s="1"/>
  <c r="DD58" i="1"/>
  <c r="I67" i="1"/>
  <c r="BB60" i="1"/>
  <c r="BB58" i="1"/>
  <c r="BD58" i="1"/>
  <c r="CL60" i="1"/>
  <c r="BG58" i="1"/>
  <c r="BA58" i="1"/>
  <c r="CM58" i="1"/>
  <c r="DN56" i="1"/>
  <c r="DN58" i="1" s="1"/>
  <c r="CO60" i="1"/>
  <c r="CO58" i="1"/>
  <c r="BE58" i="1"/>
  <c r="BE60" i="1"/>
  <c r="BN58" i="1"/>
  <c r="U56" i="1"/>
  <c r="J58" i="1"/>
  <c r="J56" i="1"/>
  <c r="J60" i="1" s="1"/>
  <c r="J62" i="1" s="1"/>
  <c r="BC56" i="1"/>
  <c r="BC60" i="1" s="1"/>
  <c r="CZ58" i="1"/>
  <c r="BI56" i="1"/>
  <c r="AZ58" i="1"/>
  <c r="DG56" i="1"/>
  <c r="DG60" i="1" s="1"/>
  <c r="CU58" i="1"/>
  <c r="CU60" i="1"/>
  <c r="BX56" i="1"/>
  <c r="BX60" i="1" s="1"/>
  <c r="BP58" i="1"/>
  <c r="CT56" i="1"/>
  <c r="CQ56" i="1"/>
  <c r="C58" i="1"/>
  <c r="C56" i="1"/>
  <c r="C60" i="1" s="1"/>
  <c r="C62" i="1" s="1"/>
  <c r="AB58" i="1"/>
  <c r="BQ58" i="1"/>
  <c r="CR58" i="1"/>
  <c r="CR60" i="1"/>
  <c r="BY58" i="1"/>
  <c r="J67" i="1"/>
  <c r="DQ19" i="1"/>
  <c r="DE19" i="1"/>
  <c r="CS19" i="1"/>
  <c r="CG19" i="1"/>
  <c r="BU19" i="1"/>
  <c r="BI19" i="1"/>
  <c r="AW19" i="1"/>
  <c r="AK19" i="1"/>
  <c r="Y19" i="1"/>
  <c r="DG19" i="1"/>
  <c r="CT19" i="1"/>
  <c r="CF19" i="1"/>
  <c r="BS19" i="1"/>
  <c r="BF19" i="1"/>
  <c r="AS19" i="1"/>
  <c r="AF19" i="1"/>
  <c r="S19" i="1"/>
  <c r="DF19" i="1"/>
  <c r="CR19" i="1"/>
  <c r="BR19" i="1"/>
  <c r="BE19" i="1"/>
  <c r="AR19" i="1"/>
  <c r="AE19" i="1"/>
  <c r="DS19" i="1"/>
  <c r="CE19" i="1"/>
  <c r="R19" i="1"/>
  <c r="DO19" i="1"/>
  <c r="DB19" i="1"/>
  <c r="CO19" i="1"/>
  <c r="CB19" i="1"/>
  <c r="DI19" i="1"/>
  <c r="CP19" i="1"/>
  <c r="BY19" i="1"/>
  <c r="BJ19" i="1"/>
  <c r="AT19" i="1"/>
  <c r="AC19" i="1"/>
  <c r="DH19" i="1"/>
  <c r="CN19" i="1"/>
  <c r="BX19" i="1"/>
  <c r="BH19" i="1"/>
  <c r="AQ19" i="1"/>
  <c r="AB19" i="1"/>
  <c r="DD19" i="1"/>
  <c r="CM19" i="1"/>
  <c r="BW19" i="1"/>
  <c r="BG19" i="1"/>
  <c r="AP19" i="1"/>
  <c r="AA19" i="1"/>
  <c r="DC19" i="1"/>
  <c r="CL19" i="1"/>
  <c r="BV19" i="1"/>
  <c r="BD19" i="1"/>
  <c r="AO19" i="1"/>
  <c r="Z19" i="1"/>
  <c r="DA19" i="1"/>
  <c r="CK19" i="1"/>
  <c r="BT19" i="1"/>
  <c r="BC19" i="1"/>
  <c r="AN19" i="1"/>
  <c r="X19" i="1"/>
  <c r="DR19" i="1"/>
  <c r="CU19" i="1"/>
  <c r="BN19" i="1"/>
  <c r="AL19" i="1"/>
  <c r="CI19" i="1"/>
  <c r="BK19" i="1"/>
  <c r="CC19" i="1"/>
  <c r="AY19" i="1"/>
  <c r="U19" i="1"/>
  <c r="DP19" i="1"/>
  <c r="CQ19" i="1"/>
  <c r="BM19" i="1"/>
  <c r="AJ19" i="1"/>
  <c r="AZ19" i="1"/>
  <c r="CA19" i="1"/>
  <c r="BZ19" i="1"/>
  <c r="DN19" i="1"/>
  <c r="CJ19" i="1"/>
  <c r="BL19" i="1"/>
  <c r="AI19" i="1"/>
  <c r="DM19" i="1"/>
  <c r="AH19" i="1"/>
  <c r="AD19" i="1"/>
  <c r="CZ19" i="1"/>
  <c r="CY19" i="1"/>
  <c r="DJ19" i="1"/>
  <c r="DL19" i="1"/>
  <c r="CH19" i="1"/>
  <c r="BB19" i="1"/>
  <c r="AG19" i="1"/>
  <c r="BA19" i="1"/>
  <c r="W19" i="1"/>
  <c r="DK19" i="1"/>
  <c r="CD19" i="1"/>
  <c r="V19" i="1"/>
  <c r="AX19" i="1"/>
  <c r="AU19" i="1"/>
  <c r="BP19" i="1"/>
  <c r="AM19" i="1"/>
  <c r="CV19" i="1"/>
  <c r="BO19" i="1"/>
  <c r="AV19" i="1"/>
  <c r="T19" i="1"/>
  <c r="BQ19" i="1"/>
  <c r="Q19" i="1"/>
  <c r="P19" i="1"/>
  <c r="P20" i="1" s="1"/>
  <c r="Q16" i="1" s="1"/>
  <c r="CW19" i="1"/>
  <c r="CX19" i="1"/>
  <c r="DA58" i="1" l="1"/>
  <c r="DQ60" i="1"/>
  <c r="CD58" i="1"/>
  <c r="BO58" i="1"/>
  <c r="BR58" i="1"/>
  <c r="CF58" i="1"/>
  <c r="CH58" i="1"/>
  <c r="DO58" i="1"/>
  <c r="CP60" i="1"/>
  <c r="BH58" i="1"/>
  <c r="DE60" i="1"/>
  <c r="CA58" i="1"/>
  <c r="DK60" i="1"/>
  <c r="DM58" i="1"/>
  <c r="CN60" i="1"/>
  <c r="BM58" i="1"/>
  <c r="CE60" i="1"/>
  <c r="CV60" i="1"/>
  <c r="DF60" i="1"/>
  <c r="DP58" i="1"/>
  <c r="BK58" i="1"/>
  <c r="DL58" i="1"/>
  <c r="DB58" i="1"/>
  <c r="CG58" i="1"/>
  <c r="CY58" i="1"/>
  <c r="DI58" i="1"/>
  <c r="BS58" i="1"/>
  <c r="CC58" i="1"/>
  <c r="BJ58" i="1"/>
  <c r="DS60" i="1"/>
  <c r="BF58" i="1"/>
  <c r="BV58" i="1"/>
  <c r="BW58" i="1"/>
  <c r="CW60" i="1"/>
  <c r="DJ60" i="1"/>
  <c r="DC58" i="1"/>
  <c r="K66" i="1"/>
  <c r="BT58" i="1"/>
  <c r="CB60" i="1"/>
  <c r="CS58" i="1"/>
  <c r="CJ58" i="1"/>
  <c r="J66" i="1"/>
  <c r="CK60" i="1"/>
  <c r="O74" i="1"/>
  <c r="E92" i="1" s="1"/>
  <c r="DN60" i="1"/>
  <c r="BX58" i="1"/>
  <c r="BC58" i="1"/>
  <c r="CQ58" i="1"/>
  <c r="CQ60" i="1"/>
  <c r="U58" i="1"/>
  <c r="I66" i="1"/>
  <c r="I68" i="1" s="1"/>
  <c r="BI58" i="1"/>
  <c r="BI60" i="1"/>
  <c r="CT58" i="1"/>
  <c r="CT60" i="1"/>
  <c r="DG58" i="1"/>
  <c r="Q18" i="1"/>
  <c r="Q20" i="1"/>
  <c r="R16" i="1" s="1"/>
  <c r="DS61" i="1" l="1"/>
  <c r="W59" i="1"/>
  <c r="W60" i="1" s="1"/>
  <c r="P59" i="1"/>
  <c r="P60" i="1" s="1"/>
  <c r="P62" i="1" s="1"/>
  <c r="I69" i="1"/>
  <c r="J68" i="1"/>
  <c r="R59" i="1"/>
  <c r="R60" i="1" s="1"/>
  <c r="S59" i="1"/>
  <c r="S60" i="1" s="1"/>
  <c r="Y59" i="1"/>
  <c r="Y60" i="1" s="1"/>
  <c r="AA59" i="1"/>
  <c r="AA60" i="1" s="1"/>
  <c r="E91" i="1"/>
  <c r="U59" i="1"/>
  <c r="U60" i="1" s="1"/>
  <c r="Q59" i="1"/>
  <c r="Q60" i="1" s="1"/>
  <c r="Q62" i="1" s="1"/>
  <c r="V59" i="1"/>
  <c r="V60" i="1" s="1"/>
  <c r="K68" i="1"/>
  <c r="T59" i="1"/>
  <c r="T60" i="1" s="1"/>
  <c r="Z59" i="1"/>
  <c r="Z60" i="1" s="1"/>
  <c r="X59" i="1"/>
  <c r="X60" i="1" s="1"/>
  <c r="R18" i="1"/>
  <c r="R20" i="1"/>
  <c r="S16" i="1" s="1"/>
  <c r="R62" i="1" l="1"/>
  <c r="AW59" i="1"/>
  <c r="AW60" i="1" s="1"/>
  <c r="AO59" i="1"/>
  <c r="AO60" i="1" s="1"/>
  <c r="AS59" i="1"/>
  <c r="AS60" i="1" s="1"/>
  <c r="AT59" i="1"/>
  <c r="AT60" i="1" s="1"/>
  <c r="AQ59" i="1"/>
  <c r="AQ60" i="1" s="1"/>
  <c r="AU59" i="1"/>
  <c r="AU60" i="1" s="1"/>
  <c r="K69" i="1"/>
  <c r="AY59" i="1"/>
  <c r="AY60" i="1" s="1"/>
  <c r="AX59" i="1"/>
  <c r="AX60" i="1" s="1"/>
  <c r="AR59" i="1"/>
  <c r="AR60" i="1" s="1"/>
  <c r="AN59" i="1"/>
  <c r="AN60" i="1" s="1"/>
  <c r="AV59" i="1"/>
  <c r="AV60" i="1" s="1"/>
  <c r="AP59" i="1"/>
  <c r="AP60" i="1" s="1"/>
  <c r="AF59" i="1"/>
  <c r="AF60" i="1" s="1"/>
  <c r="AJ59" i="1"/>
  <c r="AJ60" i="1" s="1"/>
  <c r="AK59" i="1"/>
  <c r="AK60" i="1" s="1"/>
  <c r="AB59" i="1"/>
  <c r="AB60" i="1" s="1"/>
  <c r="AI59" i="1"/>
  <c r="AI60" i="1" s="1"/>
  <c r="AC59" i="1"/>
  <c r="AC60" i="1" s="1"/>
  <c r="AG59" i="1"/>
  <c r="AG60" i="1" s="1"/>
  <c r="J69" i="1"/>
  <c r="AH59" i="1"/>
  <c r="AH60" i="1" s="1"/>
  <c r="AE59" i="1"/>
  <c r="AE60" i="1" s="1"/>
  <c r="AM59" i="1"/>
  <c r="AM60" i="1" s="1"/>
  <c r="AD59" i="1"/>
  <c r="AD60" i="1" s="1"/>
  <c r="AL59" i="1"/>
  <c r="AL60" i="1" s="1"/>
  <c r="S18" i="1"/>
  <c r="S62" i="1" s="1"/>
  <c r="S20" i="1"/>
  <c r="T16" i="1" s="1"/>
  <c r="T18" i="1" l="1"/>
  <c r="T62" i="1" s="1"/>
  <c r="T20" i="1"/>
  <c r="U16" i="1" s="1"/>
  <c r="U18" i="1" l="1"/>
  <c r="U62" i="1" s="1"/>
  <c r="U20" i="1"/>
  <c r="V16" i="1" s="1"/>
  <c r="V18" i="1" l="1"/>
  <c r="V62" i="1" s="1"/>
  <c r="V20" i="1"/>
  <c r="W16" i="1" s="1"/>
  <c r="W20" i="1" l="1"/>
  <c r="X16" i="1" s="1"/>
  <c r="W18" i="1"/>
  <c r="W62" i="1" s="1"/>
  <c r="X20" i="1" l="1"/>
  <c r="Y16" i="1" s="1"/>
  <c r="X18" i="1"/>
  <c r="X62" i="1" s="1"/>
  <c r="Y20" i="1" l="1"/>
  <c r="Z16" i="1" s="1"/>
  <c r="Y18" i="1"/>
  <c r="Y62" i="1" s="1"/>
  <c r="Z20" i="1" l="1"/>
  <c r="AA16" i="1" s="1"/>
  <c r="Z18" i="1"/>
  <c r="Z62" i="1" s="1"/>
  <c r="AA20" i="1" l="1"/>
  <c r="AB16" i="1" s="1"/>
  <c r="AA18" i="1"/>
  <c r="AA62" i="1" s="1"/>
  <c r="AB18" i="1" l="1"/>
  <c r="AB62" i="1" s="1"/>
  <c r="AB20" i="1"/>
  <c r="AC16" i="1" s="1"/>
  <c r="AC20" i="1" l="1"/>
  <c r="AD16" i="1" s="1"/>
  <c r="AC18" i="1"/>
  <c r="AC62" i="1" s="1"/>
  <c r="AD18" i="1" l="1"/>
  <c r="AD62" i="1" s="1"/>
  <c r="AD20" i="1"/>
  <c r="AE16" i="1" s="1"/>
  <c r="AE18" i="1" l="1"/>
  <c r="AE62" i="1" s="1"/>
  <c r="AE20" i="1"/>
  <c r="AF16" i="1" s="1"/>
  <c r="AF18" i="1" l="1"/>
  <c r="AF62" i="1" s="1"/>
  <c r="AF20" i="1"/>
  <c r="AG16" i="1" s="1"/>
  <c r="AG18" i="1" l="1"/>
  <c r="AG62" i="1" s="1"/>
  <c r="AG20" i="1"/>
  <c r="AH16" i="1" s="1"/>
  <c r="AH20" i="1" l="1"/>
  <c r="AI16" i="1" s="1"/>
  <c r="AH18" i="1"/>
  <c r="AH62" i="1" s="1"/>
  <c r="AI20" i="1" l="1"/>
  <c r="AJ16" i="1" s="1"/>
  <c r="AI18" i="1"/>
  <c r="AI62" i="1" s="1"/>
  <c r="AJ20" i="1" l="1"/>
  <c r="AK16" i="1" s="1"/>
  <c r="AJ18" i="1"/>
  <c r="AJ62" i="1" s="1"/>
  <c r="AK20" i="1" l="1"/>
  <c r="AL16" i="1" s="1"/>
  <c r="AK18" i="1"/>
  <c r="AK62" i="1" s="1"/>
  <c r="AL20" i="1" l="1"/>
  <c r="AM16" i="1" s="1"/>
  <c r="AL18" i="1"/>
  <c r="AL62" i="1" s="1"/>
  <c r="AM20" i="1" l="1"/>
  <c r="AN16" i="1" s="1"/>
  <c r="AM18" i="1"/>
  <c r="AM62" i="1" s="1"/>
  <c r="AN20" i="1" l="1"/>
  <c r="AO16" i="1" s="1"/>
  <c r="AN18" i="1"/>
  <c r="AN62" i="1" s="1"/>
  <c r="AO18" i="1" l="1"/>
  <c r="AO62" i="1" s="1"/>
  <c r="AO20" i="1"/>
  <c r="AP16" i="1" s="1"/>
  <c r="AP18" i="1" l="1"/>
  <c r="AP62" i="1" s="1"/>
  <c r="AP20" i="1"/>
  <c r="AQ16" i="1" s="1"/>
  <c r="AQ18" i="1" l="1"/>
  <c r="AQ62" i="1" s="1"/>
  <c r="AQ20" i="1"/>
  <c r="AR16" i="1" s="1"/>
  <c r="AR18" i="1" l="1"/>
  <c r="AR62" i="1" s="1"/>
  <c r="AR20" i="1"/>
  <c r="AS16" i="1" s="1"/>
  <c r="AS18" i="1" l="1"/>
  <c r="AS62" i="1" s="1"/>
  <c r="AS20" i="1"/>
  <c r="AT16" i="1" s="1"/>
  <c r="AT18" i="1" l="1"/>
  <c r="AT62" i="1" s="1"/>
  <c r="AT20" i="1"/>
  <c r="AU16" i="1" s="1"/>
  <c r="AU20" i="1" l="1"/>
  <c r="AV16" i="1" s="1"/>
  <c r="AU18" i="1"/>
  <c r="AU62" i="1" s="1"/>
  <c r="AV18" i="1" l="1"/>
  <c r="AV62" i="1" s="1"/>
  <c r="AV20" i="1"/>
  <c r="AW16" i="1" s="1"/>
  <c r="AW18" i="1" l="1"/>
  <c r="AW62" i="1" s="1"/>
  <c r="AW20" i="1"/>
  <c r="AX16" i="1" s="1"/>
  <c r="AX20" i="1" l="1"/>
  <c r="AY16" i="1" s="1"/>
  <c r="AX18" i="1"/>
  <c r="AX62" i="1" s="1"/>
  <c r="AY20" i="1" l="1"/>
  <c r="AZ16" i="1" s="1"/>
  <c r="AY18" i="1"/>
  <c r="AY62" i="1" s="1"/>
  <c r="AZ18" i="1" l="1"/>
  <c r="AZ62" i="1" s="1"/>
  <c r="AZ20" i="1"/>
  <c r="BA16" i="1" s="1"/>
  <c r="BA20" i="1" l="1"/>
  <c r="BB16" i="1" s="1"/>
  <c r="BA18" i="1"/>
  <c r="BA62" i="1" s="1"/>
  <c r="BB18" i="1" l="1"/>
  <c r="BB62" i="1" s="1"/>
  <c r="BB20" i="1"/>
  <c r="BC16" i="1" s="1"/>
  <c r="BC18" i="1" l="1"/>
  <c r="BC62" i="1" s="1"/>
  <c r="BC20" i="1"/>
  <c r="BD16" i="1" s="1"/>
  <c r="BD20" i="1" l="1"/>
  <c r="BE16" i="1" s="1"/>
  <c r="BD18" i="1"/>
  <c r="BD62" i="1" s="1"/>
  <c r="BE20" i="1" l="1"/>
  <c r="BF16" i="1" s="1"/>
  <c r="BE18" i="1"/>
  <c r="BE62" i="1" s="1"/>
  <c r="BF20" i="1" l="1"/>
  <c r="BG16" i="1" s="1"/>
  <c r="BF18" i="1"/>
  <c r="BF62" i="1" s="1"/>
  <c r="BG20" i="1" l="1"/>
  <c r="BH16" i="1" s="1"/>
  <c r="BG18" i="1"/>
  <c r="BG62" i="1" s="1"/>
  <c r="BH20" i="1" l="1"/>
  <c r="BI16" i="1" s="1"/>
  <c r="BH18" i="1"/>
  <c r="BH62" i="1" s="1"/>
  <c r="BI20" i="1" l="1"/>
  <c r="BJ16" i="1" s="1"/>
  <c r="BI18" i="1"/>
  <c r="BI62" i="1" s="1"/>
  <c r="BJ18" i="1" l="1"/>
  <c r="BJ62" i="1" s="1"/>
  <c r="BJ20" i="1"/>
  <c r="BK16" i="1" s="1"/>
  <c r="BK20" i="1" l="1"/>
  <c r="BL16" i="1" s="1"/>
  <c r="BK18" i="1"/>
  <c r="BK62" i="1" s="1"/>
  <c r="BL20" i="1" l="1"/>
  <c r="BM16" i="1" s="1"/>
  <c r="BL18" i="1"/>
  <c r="BL62" i="1" s="1"/>
  <c r="BM20" i="1" l="1"/>
  <c r="BN16" i="1" s="1"/>
  <c r="BM18" i="1"/>
  <c r="BM62" i="1" s="1"/>
  <c r="BN18" i="1" l="1"/>
  <c r="BN62" i="1" s="1"/>
  <c r="BN20" i="1"/>
  <c r="BO16" i="1" s="1"/>
  <c r="BO18" i="1" l="1"/>
  <c r="BO62" i="1" s="1"/>
  <c r="BO20" i="1"/>
  <c r="BP16" i="1" s="1"/>
  <c r="BP18" i="1" l="1"/>
  <c r="BP62" i="1" s="1"/>
  <c r="BP20" i="1"/>
  <c r="BQ16" i="1" s="1"/>
  <c r="BQ18" i="1" l="1"/>
  <c r="BQ62" i="1" s="1"/>
  <c r="BQ20" i="1"/>
  <c r="BR16" i="1" s="1"/>
  <c r="BR20" i="1" l="1"/>
  <c r="BS16" i="1" s="1"/>
  <c r="BR18" i="1"/>
  <c r="BR62" i="1" s="1"/>
  <c r="BS18" i="1" l="1"/>
  <c r="BS62" i="1" s="1"/>
  <c r="BS20" i="1"/>
  <c r="BT16" i="1" s="1"/>
  <c r="BT20" i="1" l="1"/>
  <c r="BU16" i="1" s="1"/>
  <c r="BT18" i="1"/>
  <c r="BT62" i="1" s="1"/>
  <c r="BU20" i="1" l="1"/>
  <c r="BV16" i="1" s="1"/>
  <c r="BU18" i="1"/>
  <c r="BU62" i="1" s="1"/>
  <c r="BV20" i="1" l="1"/>
  <c r="BW16" i="1" s="1"/>
  <c r="BV18" i="1"/>
  <c r="BV62" i="1" s="1"/>
  <c r="BW18" i="1" l="1"/>
  <c r="BW62" i="1" s="1"/>
  <c r="BW20" i="1"/>
  <c r="BX16" i="1" s="1"/>
  <c r="BX20" i="1" l="1"/>
  <c r="BY16" i="1" s="1"/>
  <c r="BX18" i="1"/>
  <c r="BX62" i="1" s="1"/>
  <c r="BY18" i="1" l="1"/>
  <c r="BY62" i="1" s="1"/>
  <c r="BY20" i="1"/>
  <c r="BZ16" i="1" s="1"/>
  <c r="BZ18" i="1" l="1"/>
  <c r="BZ62" i="1" s="1"/>
  <c r="BZ20" i="1"/>
  <c r="CA16" i="1" s="1"/>
  <c r="CA18" i="1" l="1"/>
  <c r="CA62" i="1" s="1"/>
  <c r="CA20" i="1"/>
  <c r="CB16" i="1" s="1"/>
  <c r="CB18" i="1" l="1"/>
  <c r="CB62" i="1" s="1"/>
  <c r="CB20" i="1"/>
  <c r="CC16" i="1" s="1"/>
  <c r="CC18" i="1" l="1"/>
  <c r="CC62" i="1" s="1"/>
  <c r="CC20" i="1"/>
  <c r="CD16" i="1" s="1"/>
  <c r="CD20" i="1" l="1"/>
  <c r="CE16" i="1" s="1"/>
  <c r="CD18" i="1"/>
  <c r="CD62" i="1" s="1"/>
  <c r="CE20" i="1" l="1"/>
  <c r="CF16" i="1" s="1"/>
  <c r="CE18" i="1"/>
  <c r="CE62" i="1" s="1"/>
  <c r="CF20" i="1" l="1"/>
  <c r="CG16" i="1" s="1"/>
  <c r="CF18" i="1"/>
  <c r="CF62" i="1" s="1"/>
  <c r="CG20" i="1" l="1"/>
  <c r="CH16" i="1" s="1"/>
  <c r="CG18" i="1"/>
  <c r="CG62" i="1" s="1"/>
  <c r="CH20" i="1" l="1"/>
  <c r="CI16" i="1" s="1"/>
  <c r="CH18" i="1"/>
  <c r="CH62" i="1" s="1"/>
  <c r="CI20" i="1" l="1"/>
  <c r="CJ16" i="1" s="1"/>
  <c r="CI18" i="1"/>
  <c r="CI62" i="1" s="1"/>
  <c r="CJ18" i="1" l="1"/>
  <c r="CJ62" i="1" s="1"/>
  <c r="CJ20" i="1"/>
  <c r="CK16" i="1" s="1"/>
  <c r="CK18" i="1" l="1"/>
  <c r="CK62" i="1" s="1"/>
  <c r="CK20" i="1"/>
  <c r="CL16" i="1" s="1"/>
  <c r="CL18" i="1" l="1"/>
  <c r="CL62" i="1" s="1"/>
  <c r="CL20" i="1"/>
  <c r="CM16" i="1" s="1"/>
  <c r="CM18" i="1" l="1"/>
  <c r="CM62" i="1" s="1"/>
  <c r="CM20" i="1"/>
  <c r="CN16" i="1" s="1"/>
  <c r="CN18" i="1" l="1"/>
  <c r="CN62" i="1" s="1"/>
  <c r="CN20" i="1"/>
  <c r="CO16" i="1" s="1"/>
  <c r="CO18" i="1" l="1"/>
  <c r="CO62" i="1" s="1"/>
  <c r="CO20" i="1"/>
  <c r="CP16" i="1" s="1"/>
  <c r="CP20" i="1" l="1"/>
  <c r="CQ16" i="1" s="1"/>
  <c r="CP18" i="1"/>
  <c r="CP62" i="1" s="1"/>
  <c r="CQ20" i="1" l="1"/>
  <c r="CR16" i="1" s="1"/>
  <c r="CQ18" i="1"/>
  <c r="CQ62" i="1" s="1"/>
  <c r="CR20" i="1" l="1"/>
  <c r="CS16" i="1" s="1"/>
  <c r="CR18" i="1"/>
  <c r="CR62" i="1" s="1"/>
  <c r="CS20" i="1" l="1"/>
  <c r="CT16" i="1" s="1"/>
  <c r="CS18" i="1"/>
  <c r="CS62" i="1" s="1"/>
  <c r="CT20" i="1" l="1"/>
  <c r="CU16" i="1" s="1"/>
  <c r="CT18" i="1"/>
  <c r="CT62" i="1" s="1"/>
  <c r="CU20" i="1" l="1"/>
  <c r="CV16" i="1" s="1"/>
  <c r="CU18" i="1"/>
  <c r="CU62" i="1" s="1"/>
  <c r="CV18" i="1" l="1"/>
  <c r="CV62" i="1" s="1"/>
  <c r="CV20" i="1"/>
  <c r="CW16" i="1" s="1"/>
  <c r="CW18" i="1" l="1"/>
  <c r="CW62" i="1" s="1"/>
  <c r="CW20" i="1"/>
  <c r="CX16" i="1" s="1"/>
  <c r="CX18" i="1" l="1"/>
  <c r="CX62" i="1" s="1"/>
  <c r="CX20" i="1"/>
  <c r="CY16" i="1" s="1"/>
  <c r="CY18" i="1" l="1"/>
  <c r="CY62" i="1" s="1"/>
  <c r="CY20" i="1"/>
  <c r="CZ16" i="1" s="1"/>
  <c r="CZ18" i="1" l="1"/>
  <c r="CZ62" i="1" s="1"/>
  <c r="CZ20" i="1"/>
  <c r="DA16" i="1" s="1"/>
  <c r="DA18" i="1" l="1"/>
  <c r="DA62" i="1" s="1"/>
  <c r="DA20" i="1"/>
  <c r="DB16" i="1" s="1"/>
  <c r="DB20" i="1" l="1"/>
  <c r="DC16" i="1" s="1"/>
  <c r="DB18" i="1"/>
  <c r="DB62" i="1" s="1"/>
  <c r="DC20" i="1" l="1"/>
  <c r="DD16" i="1" s="1"/>
  <c r="DC18" i="1"/>
  <c r="DC62" i="1" s="1"/>
  <c r="DD20" i="1" l="1"/>
  <c r="DE16" i="1" s="1"/>
  <c r="DD18" i="1"/>
  <c r="DD62" i="1" s="1"/>
  <c r="DE20" i="1" l="1"/>
  <c r="DF16" i="1" s="1"/>
  <c r="DE18" i="1"/>
  <c r="DE62" i="1" s="1"/>
  <c r="DF20" i="1" l="1"/>
  <c r="DG16" i="1" s="1"/>
  <c r="DF18" i="1"/>
  <c r="DF62" i="1" s="1"/>
  <c r="DG20" i="1" l="1"/>
  <c r="DH16" i="1" s="1"/>
  <c r="DG18" i="1"/>
  <c r="DG62" i="1" s="1"/>
  <c r="DH20" i="1" l="1"/>
  <c r="DI16" i="1" s="1"/>
  <c r="DH18" i="1"/>
  <c r="DH62" i="1" s="1"/>
  <c r="DI20" i="1" l="1"/>
  <c r="DJ16" i="1" s="1"/>
  <c r="DI18" i="1"/>
  <c r="DI62" i="1" s="1"/>
  <c r="DJ18" i="1" l="1"/>
  <c r="DJ62" i="1" s="1"/>
  <c r="DJ20" i="1"/>
  <c r="DK16" i="1" s="1"/>
  <c r="DK18" i="1" l="1"/>
  <c r="DK62" i="1" s="1"/>
  <c r="DK20" i="1"/>
  <c r="DL16" i="1" s="1"/>
  <c r="DL18" i="1" l="1"/>
  <c r="DL62" i="1" s="1"/>
  <c r="DL20" i="1"/>
  <c r="DM16" i="1" s="1"/>
  <c r="DM20" i="1" l="1"/>
  <c r="DN16" i="1" s="1"/>
  <c r="DM18" i="1"/>
  <c r="DM62" i="1" s="1"/>
  <c r="DN18" i="1" l="1"/>
  <c r="DN62" i="1" s="1"/>
  <c r="DN20" i="1"/>
  <c r="DO16" i="1" s="1"/>
  <c r="DO20" i="1" l="1"/>
  <c r="DP16" i="1" s="1"/>
  <c r="DO18" i="1"/>
  <c r="DO62" i="1" s="1"/>
  <c r="DP20" i="1" l="1"/>
  <c r="DQ16" i="1" s="1"/>
  <c r="DP18" i="1"/>
  <c r="DP62" i="1" s="1"/>
  <c r="DQ18" i="1" l="1"/>
  <c r="DQ62" i="1" s="1"/>
  <c r="DQ20" i="1"/>
  <c r="DR16" i="1" s="1"/>
  <c r="DR18" i="1" l="1"/>
  <c r="DR62" i="1" s="1"/>
  <c r="DR20" i="1"/>
  <c r="DS16" i="1" s="1"/>
  <c r="DS20" i="1" l="1"/>
  <c r="DS18" i="1"/>
  <c r="DS62" i="1" s="1"/>
  <c r="O75" i="1" l="1"/>
  <c r="E93" i="1" s="1"/>
  <c r="I73" i="1" s="1"/>
  <c r="E8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<sst xmlns="http://schemas.openxmlformats.org/spreadsheetml/2006/main" count="228" uniqueCount="187">
  <si>
    <t>Investment</t>
  </si>
  <si>
    <t>Expenses</t>
  </si>
  <si>
    <t>Period Start</t>
  </si>
  <si>
    <t>Period End</t>
  </si>
  <si>
    <t>Period #</t>
  </si>
  <si>
    <t>Bank Loan</t>
  </si>
  <si>
    <t>Discount Rate</t>
  </si>
  <si>
    <t>Inputs and Assumptions</t>
  </si>
  <si>
    <t>General</t>
  </si>
  <si>
    <t>Company Name:</t>
  </si>
  <si>
    <t>Cost of Equipment</t>
  </si>
  <si>
    <t>[$]</t>
  </si>
  <si>
    <t>[%]</t>
  </si>
  <si>
    <t>Case Author: Andrew Grigolyunovich, CFA, CFM, FMVA</t>
  </si>
  <si>
    <t>Financial Model</t>
  </si>
  <si>
    <t>Model Start Date</t>
  </si>
  <si>
    <t>[Date]</t>
  </si>
  <si>
    <t>Cost of Land</t>
  </si>
  <si>
    <t>Construction Cost</t>
  </si>
  <si>
    <t>Construction Length</t>
  </si>
  <si>
    <t>GreenEnergo</t>
  </si>
  <si>
    <t>[Mo]</t>
  </si>
  <si>
    <t>1st Installment Amount</t>
  </si>
  <si>
    <t>1st Installment Date</t>
  </si>
  <si>
    <t>2nd Installment Amount</t>
  </si>
  <si>
    <t>2nd Installment Date</t>
  </si>
  <si>
    <t>Mini</t>
  </si>
  <si>
    <t>Regular</t>
  </si>
  <si>
    <t>E-Car Market</t>
  </si>
  <si>
    <t>Price per kWh</t>
  </si>
  <si>
    <t>Battery Capacity</t>
  </si>
  <si>
    <t>[kWh]</t>
  </si>
  <si>
    <t>Sales</t>
  </si>
  <si>
    <t>Store Sales</t>
  </si>
  <si>
    <t>Take Rate</t>
  </si>
  <si>
    <t>Sales per Car</t>
  </si>
  <si>
    <t>COS per kWh</t>
  </si>
  <si>
    <t># of Employees</t>
  </si>
  <si>
    <t>Average Salary</t>
  </si>
  <si>
    <t>Operating Expenses</t>
  </si>
  <si>
    <t>[#]</t>
  </si>
  <si>
    <t>[$/mo.]</t>
  </si>
  <si>
    <t>Financing Share (LTV)</t>
  </si>
  <si>
    <t>Interest Rate</t>
  </si>
  <si>
    <t>Repayment Schedule</t>
  </si>
  <si>
    <t>[y]</t>
  </si>
  <si>
    <t>Premium</t>
  </si>
  <si>
    <t>Initial # of Cars Served</t>
  </si>
  <si>
    <t>Initial Share</t>
  </si>
  <si>
    <t>Capacity</t>
  </si>
  <si>
    <t>% Charged</t>
  </si>
  <si>
    <t>Annual Inflation - Store</t>
  </si>
  <si>
    <t>Annual Inflation - Opex</t>
  </si>
  <si>
    <t>COS - as % of Sales</t>
  </si>
  <si>
    <t>Social Security Tax</t>
  </si>
  <si>
    <t>Employee Benefits</t>
  </si>
  <si>
    <t>State Subsidy</t>
  </si>
  <si>
    <t>Target EBITDA Margin 2022</t>
  </si>
  <si>
    <t>Subsidy 2023 vs. 2022</t>
  </si>
  <si>
    <t>Subsidy 2024 vs. 2022</t>
  </si>
  <si>
    <t>EV/EBITDA Multiple</t>
  </si>
  <si>
    <t>[x]</t>
  </si>
  <si>
    <t>Valuation Assumptions</t>
  </si>
  <si>
    <t>Monthly Growth 2022 - 2026</t>
  </si>
  <si>
    <t>Annual Inflation - Electricity</t>
  </si>
  <si>
    <t>Monthly Growth 2027-2030</t>
  </si>
  <si>
    <t>Case 2-S2/2020: Charging Station</t>
  </si>
  <si>
    <t>Land</t>
  </si>
  <si>
    <t>Equipment Advance</t>
  </si>
  <si>
    <t>Construction</t>
  </si>
  <si>
    <t>Loan Draw</t>
  </si>
  <si>
    <t>Equity Contribution</t>
  </si>
  <si>
    <t>Loan Schedule</t>
  </si>
  <si>
    <t>Interest Start Date</t>
  </si>
  <si>
    <t>Growth Slowdown Date</t>
  </si>
  <si>
    <t>Period Starting Balance</t>
  </si>
  <si>
    <t>Period Ending Balance</t>
  </si>
  <si>
    <t>Amortization Start Date</t>
  </si>
  <si>
    <t>Operations Start Date</t>
  </si>
  <si>
    <t>Loan Total</t>
  </si>
  <si>
    <t>CapEx Total</t>
  </si>
  <si>
    <t>Equity Total</t>
  </si>
  <si>
    <t xml:space="preserve">  Principal Repayment</t>
  </si>
  <si>
    <t>Interest Expense</t>
  </si>
  <si>
    <t>Additional Inputs (From case materials)</t>
  </si>
  <si>
    <t>ops start mo</t>
  </si>
  <si>
    <t>ops slowdown mo</t>
  </si>
  <si>
    <t>mini initial</t>
  </si>
  <si>
    <t>reg initial</t>
  </si>
  <si>
    <t>prem initial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</si>
  <si>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</si>
  <si>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</si>
  <si>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</si>
  <si>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</si>
  <si>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</si>
  <si>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</si>
  <si>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</si>
  <si>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</si>
  <si>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</si>
  <si>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</si>
  <si>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</si>
  <si>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</si>
  <si>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</si>
  <si>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</si>
  <si>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</si>
  <si>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Total CapEx</t>
  </si>
  <si>
    <t>EOY '21 loan bal</t>
  </si>
  <si>
    <t>Total Int Expense</t>
  </si>
  <si>
    <t>total served</t>
  </si>
  <si>
    <t>kWh total</t>
  </si>
  <si>
    <t>total revenue</t>
  </si>
  <si>
    <t>Salary Expense</t>
  </si>
  <si>
    <t>Social Security Tax Expense</t>
  </si>
  <si>
    <t>Employee Benefits Expense</t>
  </si>
  <si>
    <t>Gross Revenue</t>
  </si>
  <si>
    <t>Mini Car Customers</t>
  </si>
  <si>
    <t>Regular Car Customers</t>
  </si>
  <si>
    <t>Premium Car Customers</t>
  </si>
  <si>
    <t>Cost/kWh</t>
  </si>
  <si>
    <t>Price/kWh</t>
  </si>
  <si>
    <t>Mini Customers Usage (kWh)</t>
  </si>
  <si>
    <t>Regular Customers Usage (kWh)</t>
  </si>
  <si>
    <t>Premium Customers Usage (kWh)</t>
  </si>
  <si>
    <t>Total Usage (KwH)</t>
  </si>
  <si>
    <t>Mini Customers In-Store Sales</t>
  </si>
  <si>
    <t>Regular Customers In-Store Sales</t>
  </si>
  <si>
    <t>Premium Customers In-Store Sales</t>
  </si>
  <si>
    <t>Operating Results</t>
  </si>
  <si>
    <t>EBITDA</t>
  </si>
  <si>
    <t>Fixed Operating Expenses</t>
  </si>
  <si>
    <t>In-Store Sales Expenses</t>
  </si>
  <si>
    <t>Electricity Expenses</t>
  </si>
  <si>
    <t>Miscellaneous Expense</t>
  </si>
  <si>
    <t>Revenue from In-Store Sales</t>
  </si>
  <si>
    <t>Revenue from Electricity</t>
  </si>
  <si>
    <t>Electricity Sales and Costs</t>
  </si>
  <si>
    <t>Store Sales and Costs</t>
  </si>
  <si>
    <t>Investment and Financing</t>
  </si>
  <si>
    <t>Subtotal: CapEx</t>
  </si>
  <si>
    <t>Subtotal: Fixed Operating Expenses</t>
  </si>
  <si>
    <t>Market Forecast</t>
  </si>
  <si>
    <t>EBITDA Margin</t>
  </si>
  <si>
    <t>Subsidy</t>
  </si>
  <si>
    <t>EBITDA margin</t>
  </si>
  <si>
    <t>total opex</t>
  </si>
  <si>
    <t>prem avg (kWh)</t>
  </si>
  <si>
    <t>reg dec '26 ct.</t>
  </si>
  <si>
    <t>prem jan '27 ct.</t>
  </si>
  <si>
    <t>2022 subsidy</t>
  </si>
  <si>
    <t>terminal value</t>
  </si>
  <si>
    <t>Subsidized EBITDA</t>
  </si>
  <si>
    <t>2030 TV</t>
  </si>
  <si>
    <t>Liquidation_cf</t>
  </si>
  <si>
    <t>FCFE</t>
  </si>
  <si>
    <t>Monthly Subsidy</t>
  </si>
  <si>
    <t>npv fcfe</t>
  </si>
  <si>
    <t>npv fcfe (-1 employee)</t>
  </si>
  <si>
    <t>NPV prem 50% charge</t>
  </si>
  <si>
    <t>normal headcount</t>
  </si>
  <si>
    <t>Employee ct</t>
  </si>
  <si>
    <t>Premium charge percentage</t>
  </si>
  <si>
    <t xml:space="preserve"> </t>
  </si>
  <si>
    <t>prem charge</t>
  </si>
  <si>
    <t>NPV Base</t>
  </si>
  <si>
    <t>Subsidy Breakdown</t>
  </si>
  <si>
    <t>EBITDA (no sub)</t>
  </si>
  <si>
    <t>Revenue (no sub)</t>
  </si>
  <si>
    <t>Project Summary</t>
  </si>
  <si>
    <r>
      <rPr>
        <b/>
        <sz val="11"/>
        <color theme="1"/>
        <rFont val="Calibri"/>
        <family val="2"/>
        <scheme val="minor"/>
      </rPr>
      <t>Description:</t>
    </r>
    <r>
      <rPr>
        <sz val="11"/>
        <color theme="1"/>
        <rFont val="Calibri"/>
        <family val="2"/>
        <scheme val="minor"/>
      </rPr>
      <t xml:space="preserve"> Develop a government-subsidized electric-car charging station and shop using debt financing.</t>
    </r>
  </si>
  <si>
    <t>Debt:Equity Ratio</t>
  </si>
  <si>
    <t>Capital Expenditure</t>
  </si>
  <si>
    <t>Investment and Capital Structure</t>
  </si>
  <si>
    <t>Loan Interest Rate</t>
  </si>
  <si>
    <t>Loan Term (years)</t>
  </si>
  <si>
    <t>Operating Metrics</t>
  </si>
  <si>
    <t>FCST Annual Vehicle Volume</t>
  </si>
  <si>
    <t>FCST Annual Electric Use (kWh)</t>
  </si>
  <si>
    <t>Revenue Drivers</t>
  </si>
  <si>
    <t>Electricity Sales, Shop Sales</t>
  </si>
  <si>
    <t>OpEx Drivers</t>
  </si>
  <si>
    <t>Electricity Cost, COGS, salaries</t>
  </si>
  <si>
    <t>Subsidies</t>
  </si>
  <si>
    <t>Year 1 EBITDA Margin, 20%</t>
  </si>
  <si>
    <t>Initial Subsidy</t>
  </si>
  <si>
    <t>75% of initial, 50% of initial, 0</t>
  </si>
  <si>
    <t>Subsidiy Schedule</t>
  </si>
  <si>
    <t>Sensitivity Analysis (NPV FCFE)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</si>
</sst>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,##0.00\x"/>
    <numFmt numFmtId="166" formatCode="[$-409]d\-mmm\-yy;@"/>
    <numFmt numFmtId="167" formatCode="_(&quot;$&quot;* #,##0.000_);_(&quot;$&quot;* \(#,##0.000\);_(&quot;$&quot;* &quot;-&quot;??_);_(@_)"/>
    <numFmt numFmtId="168" formatCode="0.0"/>
    <numFmt numFmtId="169" formatCode="_(&quot;$&quot;* #,##0_);_(&quot;$&quot;* \(#,##0\);_(&quot;$&quot;* &quot;-&quot;??_);_(@_)"/>
    <numFmt numFmtId="170" formatCode="_(* #,##0_);_(* \(#,##0\);_(* &quot;-&quot;??_);_(@_)"/>
    <numFmt numFmtId="171" formatCode="_([$$-409]* #,##0.00_);_([$$-409]* \(#,##0.00\);_([$$-409]* &quot;-&quot;??_);_(@_)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85B2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Roboto"/>
    </font>
    <font>
      <sz val="10"/>
      <name val="Roboto"/>
    </font>
    <font>
      <b/>
      <u/>
      <sz val="10"/>
      <color rgb="FF6C7079"/>
      <name val="roboto"/>
    </font>
    <font>
      <b/>
      <sz val="10"/>
      <color rgb="FF6C7079"/>
      <name val="Roboto"/>
    </font>
    <font>
      <b/>
      <sz val="28"/>
      <color theme="0"/>
      <name val="Roboto"/>
    </font>
    <font>
      <b/>
      <sz val="20"/>
      <color theme="0"/>
      <name val="Roboto"/>
    </font>
    <font>
      <b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208BB7"/>
        <bgColor indexed="64"/>
      </patternFill>
    </fill>
    <fill>
      <patternFill patternType="solid">
        <fgColor rgb="FF6C7079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3" applyNumberFormat="0" applyAlignment="0" applyProtection="0"/>
    <xf numFmtId="0" fontId="10" fillId="0" borderId="0" applyNumberFormat="0" applyFill="0" applyBorder="0" applyAlignment="0" applyProtection="0"/>
    <xf numFmtId="4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15" fontId="1" fillId="0" borderId="0" xfId="0" applyNumberFormat="1" applyFont="1"/>
    <xf numFmtId="0" fontId="2" fillId="0" borderId="0" xfId="0" applyFont="1"/>
    <xf numFmtId="3" fontId="4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6" fillId="0" borderId="4" xfId="0" applyFont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0" fontId="7" fillId="0" borderId="1" xfId="0" applyFont="1" applyBorder="1"/>
    <xf numFmtId="0" fontId="5" fillId="0" borderId="1" xfId="0" applyFont="1" applyBorder="1"/>
    <xf numFmtId="0" fontId="5" fillId="0" borderId="0" xfId="0" applyFont="1" applyAlignment="1">
      <alignment horizontal="left" indent="1"/>
    </xf>
    <xf numFmtId="3" fontId="8" fillId="2" borderId="5" xfId="1" applyNumberFormat="1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6" fontId="8" fillId="2" borderId="3" xfId="1" applyNumberFormat="1" applyFont="1" applyAlignment="1" applyProtection="1">
      <alignment horizontal="center"/>
      <protection locked="0"/>
    </xf>
    <xf numFmtId="9" fontId="8" fillId="2" borderId="3" xfId="1" applyNumberFormat="1" applyFont="1" applyAlignment="1" applyProtection="1">
      <alignment horizontal="center"/>
      <protection locked="0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3" fillId="0" borderId="0" xfId="2" applyFont="1"/>
    <xf numFmtId="15" fontId="14" fillId="0" borderId="0" xfId="0" applyNumberFormat="1" applyFont="1" applyAlignment="1">
      <alignment horizontal="right"/>
    </xf>
    <xf numFmtId="15" fontId="8" fillId="2" borderId="3" xfId="1" applyNumberFormat="1" applyFont="1" applyAlignment="1" applyProtection="1">
      <alignment horizontal="center"/>
      <protection locked="0"/>
    </xf>
    <xf numFmtId="3" fontId="8" fillId="2" borderId="3" xfId="1" applyNumberFormat="1" applyFont="1" applyAlignment="1" applyProtection="1">
      <alignment horizontal="center"/>
      <protection locked="0"/>
    </xf>
    <xf numFmtId="9" fontId="5" fillId="0" borderId="0" xfId="0" applyNumberFormat="1" applyFont="1" applyAlignment="1">
      <alignment horizontal="center"/>
    </xf>
    <xf numFmtId="14" fontId="8" fillId="2" borderId="3" xfId="1" applyNumberFormat="1" applyFont="1" applyAlignment="1" applyProtection="1">
      <alignment horizontal="center"/>
      <protection locked="0"/>
    </xf>
    <xf numFmtId="8" fontId="8" fillId="2" borderId="3" xfId="1" applyNumberFormat="1" applyFont="1" applyAlignment="1" applyProtection="1">
      <alignment horizontal="center"/>
      <protection locked="0"/>
    </xf>
    <xf numFmtId="164" fontId="8" fillId="2" borderId="3" xfId="1" applyNumberFormat="1" applyFont="1" applyAlignment="1" applyProtection="1">
      <alignment horizontal="center"/>
      <protection locked="0"/>
    </xf>
    <xf numFmtId="3" fontId="17" fillId="3" borderId="2" xfId="0" applyNumberFormat="1" applyFont="1" applyFill="1" applyBorder="1"/>
    <xf numFmtId="0" fontId="7" fillId="0" borderId="1" xfId="0" applyFont="1" applyBorder="1" applyAlignment="1">
      <alignment horizontal="center"/>
    </xf>
    <xf numFmtId="10" fontId="8" fillId="2" borderId="3" xfId="1" applyNumberFormat="1" applyFont="1" applyAlignment="1" applyProtection="1">
      <alignment horizontal="center"/>
      <protection locked="0"/>
    </xf>
    <xf numFmtId="0" fontId="5" fillId="0" borderId="1" xfId="0" applyFont="1" applyBorder="1" applyAlignment="1">
      <alignment horizontal="left" indent="1"/>
    </xf>
    <xf numFmtId="164" fontId="8" fillId="2" borderId="6" xfId="1" applyNumberFormat="1" applyFont="1" applyBorder="1" applyAlignment="1" applyProtection="1">
      <alignment horizontal="center"/>
      <protection locked="0"/>
    </xf>
    <xf numFmtId="8" fontId="8" fillId="2" borderId="6" xfId="1" applyNumberFormat="1" applyFont="1" applyBorder="1" applyAlignment="1" applyProtection="1">
      <alignment horizontal="center"/>
      <protection locked="0"/>
    </xf>
    <xf numFmtId="6" fontId="8" fillId="2" borderId="5" xfId="1" applyNumberFormat="1" applyFont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left" indent="1"/>
    </xf>
    <xf numFmtId="0" fontId="5" fillId="0" borderId="7" xfId="0" applyFont="1" applyBorder="1"/>
    <xf numFmtId="0" fontId="9" fillId="0" borderId="7" xfId="0" applyFont="1" applyBorder="1" applyAlignment="1">
      <alignment horizontal="center"/>
    </xf>
    <xf numFmtId="6" fontId="8" fillId="2" borderId="8" xfId="1" applyNumberFormat="1" applyFont="1" applyBorder="1" applyAlignment="1" applyProtection="1">
      <alignment horizontal="center"/>
      <protection locked="0"/>
    </xf>
    <xf numFmtId="0" fontId="5" fillId="0" borderId="9" xfId="0" applyFont="1" applyBorder="1" applyAlignment="1">
      <alignment horizontal="left" indent="1"/>
    </xf>
    <xf numFmtId="0" fontId="5" fillId="0" borderId="9" xfId="0" applyFont="1" applyBorder="1"/>
    <xf numFmtId="0" fontId="9" fillId="0" borderId="9" xfId="0" applyFont="1" applyBorder="1" applyAlignment="1">
      <alignment horizontal="center"/>
    </xf>
    <xf numFmtId="6" fontId="8" fillId="2" borderId="10" xfId="1" applyNumberFormat="1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3" fontId="8" fillId="2" borderId="6" xfId="1" applyNumberFormat="1" applyFont="1" applyBorder="1" applyAlignment="1" applyProtection="1">
      <alignment horizontal="center"/>
      <protection locked="0"/>
    </xf>
    <xf numFmtId="165" fontId="8" fillId="2" borderId="3" xfId="1" applyNumberFormat="1" applyFont="1" applyAlignment="1" applyProtection="1">
      <alignment horizontal="center"/>
      <protection locked="0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44" fontId="0" fillId="0" borderId="0" xfId="0" applyNumberFormat="1"/>
    <xf numFmtId="0" fontId="0" fillId="0" borderId="0" xfId="0" applyAlignment="1">
      <alignment horizontal="right"/>
    </xf>
    <xf numFmtId="167" fontId="0" fillId="0" borderId="0" xfId="0" applyNumberFormat="1"/>
    <xf numFmtId="0" fontId="19" fillId="0" borderId="0" xfId="0" applyFont="1" applyAlignment="1">
      <alignment horizontal="right"/>
    </xf>
    <xf numFmtId="2" fontId="0" fillId="0" borderId="0" xfId="0" applyNumberFormat="1"/>
    <xf numFmtId="168" fontId="0" fillId="0" borderId="0" xfId="0" applyNumberFormat="1"/>
    <xf numFmtId="0" fontId="21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44" fontId="0" fillId="0" borderId="11" xfId="0" applyNumberFormat="1" applyBorder="1"/>
    <xf numFmtId="44" fontId="0" fillId="0" borderId="12" xfId="0" applyNumberFormat="1" applyBorder="1"/>
    <xf numFmtId="44" fontId="0" fillId="0" borderId="14" xfId="0" applyNumberFormat="1" applyBorder="1"/>
    <xf numFmtId="2" fontId="0" fillId="0" borderId="15" xfId="0" applyNumberFormat="1" applyBorder="1"/>
    <xf numFmtId="1" fontId="0" fillId="0" borderId="15" xfId="0" applyNumberFormat="1" applyBorder="1"/>
    <xf numFmtId="44" fontId="0" fillId="0" borderId="15" xfId="3" applyFont="1" applyBorder="1"/>
    <xf numFmtId="44" fontId="0" fillId="0" borderId="16" xfId="0" applyNumberFormat="1" applyBorder="1"/>
    <xf numFmtId="0" fontId="0" fillId="0" borderId="4" xfId="0" applyBorder="1"/>
    <xf numFmtId="169" fontId="0" fillId="0" borderId="15" xfId="0" applyNumberFormat="1" applyBorder="1"/>
    <xf numFmtId="3" fontId="0" fillId="0" borderId="15" xfId="0" applyNumberFormat="1" applyBorder="1"/>
    <xf numFmtId="170" fontId="0" fillId="0" borderId="15" xfId="5" applyNumberFormat="1" applyFont="1" applyBorder="1"/>
    <xf numFmtId="44" fontId="0" fillId="0" borderId="0" xfId="3" applyFont="1"/>
    <xf numFmtId="169" fontId="0" fillId="0" borderId="0" xfId="3" applyNumberFormat="1" applyFont="1"/>
    <xf numFmtId="166" fontId="8" fillId="0" borderId="0" xfId="1" applyNumberFormat="1" applyFont="1" applyFill="1" applyBorder="1" applyAlignment="1" applyProtection="1">
      <alignment horizontal="center"/>
      <protection locked="0"/>
    </xf>
    <xf numFmtId="166" fontId="8" fillId="2" borderId="18" xfId="1" applyNumberFormat="1" applyFont="1" applyBorder="1" applyAlignment="1" applyProtection="1">
      <alignment horizontal="center"/>
      <protection locked="0"/>
    </xf>
    <xf numFmtId="166" fontId="8" fillId="2" borderId="19" xfId="1" applyNumberFormat="1" applyFont="1" applyBorder="1" applyAlignment="1" applyProtection="1">
      <alignment horizontal="center"/>
      <protection locked="0"/>
    </xf>
    <xf numFmtId="0" fontId="9" fillId="0" borderId="20" xfId="0" applyFont="1" applyBorder="1" applyAlignment="1">
      <alignment horizontal="center"/>
    </xf>
    <xf numFmtId="166" fontId="8" fillId="2" borderId="21" xfId="1" applyNumberFormat="1" applyFont="1" applyBorder="1" applyAlignment="1" applyProtection="1">
      <alignment horizontal="center"/>
      <protection locked="0"/>
    </xf>
    <xf numFmtId="171" fontId="0" fillId="0" borderId="0" xfId="0" applyNumberFormat="1"/>
    <xf numFmtId="1" fontId="0" fillId="0" borderId="0" xfId="0" applyNumberFormat="1"/>
    <xf numFmtId="44" fontId="0" fillId="0" borderId="22" xfId="0" applyNumberFormat="1" applyBorder="1"/>
    <xf numFmtId="1" fontId="0" fillId="0" borderId="22" xfId="0" applyNumberFormat="1" applyBorder="1"/>
    <xf numFmtId="0" fontId="0" fillId="0" borderId="22" xfId="0" applyBorder="1"/>
    <xf numFmtId="3" fontId="0" fillId="0" borderId="22" xfId="0" applyNumberFormat="1" applyBorder="1"/>
    <xf numFmtId="9" fontId="0" fillId="0" borderId="22" xfId="0" applyNumberFormat="1" applyBorder="1"/>
    <xf numFmtId="0" fontId="0" fillId="0" borderId="22" xfId="0" applyBorder="1" applyAlignment="1">
      <alignment horizontal="right"/>
    </xf>
    <xf numFmtId="44" fontId="0" fillId="0" borderId="22" xfId="3" applyFont="1" applyBorder="1"/>
    <xf numFmtId="169" fontId="0" fillId="0" borderId="15" xfId="3" applyNumberFormat="1" applyFont="1" applyBorder="1" applyAlignment="1">
      <alignment horizontal="right"/>
    </xf>
    <xf numFmtId="169" fontId="0" fillId="0" borderId="17" xfId="3" applyNumberFormat="1" applyFont="1" applyBorder="1" applyAlignment="1">
      <alignment horizontal="right"/>
    </xf>
    <xf numFmtId="169" fontId="0" fillId="0" borderId="13" xfId="0" applyNumberFormat="1" applyBorder="1"/>
    <xf numFmtId="0" fontId="0" fillId="5" borderId="22" xfId="0" applyFill="1" applyBorder="1" applyAlignment="1">
      <alignment horizontal="right"/>
    </xf>
    <xf numFmtId="0" fontId="0" fillId="5" borderId="22" xfId="0" applyFill="1" applyBorder="1" applyAlignment="1">
      <alignment horizontal="left"/>
    </xf>
    <xf numFmtId="44" fontId="0" fillId="5" borderId="22" xfId="3" applyFont="1" applyFill="1" applyBorder="1" applyAlignment="1">
      <alignment horizontal="right"/>
    </xf>
    <xf numFmtId="9" fontId="0" fillId="5" borderId="22" xfId="4" applyFont="1" applyFill="1" applyBorder="1" applyAlignment="1">
      <alignment horizontal="right"/>
    </xf>
    <xf numFmtId="0" fontId="19" fillId="0" borderId="22" xfId="0" applyFont="1" applyBorder="1"/>
    <xf numFmtId="9" fontId="19" fillId="0" borderId="22" xfId="0" applyNumberFormat="1" applyFont="1" applyBorder="1"/>
    <xf numFmtId="9" fontId="0" fillId="0" borderId="0" xfId="4" applyFont="1"/>
    <xf numFmtId="0" fontId="15" fillId="3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44" fontId="0" fillId="0" borderId="23" xfId="0" applyNumberFormat="1" applyBorder="1" applyAlignment="1">
      <alignment horizontal="center" vertical="center" wrapText="1"/>
    </xf>
    <xf numFmtId="44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0" fillId="0" borderId="2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/>
    <xf numFmtId="0" fontId="0" fillId="0" borderId="25" xfId="0" applyBorder="1"/>
    <xf numFmtId="0" fontId="0" fillId="0" borderId="0" xfId="0" applyBorder="1"/>
    <xf numFmtId="0" fontId="0" fillId="0" borderId="22" xfId="0" applyBorder="1"/>
    <xf numFmtId="44" fontId="0" fillId="0" borderId="22" xfId="3" applyFont="1" applyBorder="1"/>
    <xf numFmtId="168" fontId="0" fillId="0" borderId="22" xfId="0" applyNumberFormat="1" applyBorder="1" applyAlignment="1">
      <alignment horizontal="right"/>
    </xf>
    <xf numFmtId="9" fontId="0" fillId="0" borderId="22" xfId="4" applyFont="1" applyBorder="1"/>
    <xf numFmtId="170" fontId="0" fillId="0" borderId="22" xfId="5" applyNumberFormat="1" applyFont="1" applyBorder="1"/>
    <xf numFmtId="1" fontId="0" fillId="0" borderId="22" xfId="5" applyNumberFormat="1" applyFont="1" applyBorder="1"/>
    <xf numFmtId="0" fontId="19" fillId="0" borderId="25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0" fillId="0" borderId="0" xfId="0" applyBorder="1"/>
    <xf numFmtId="169" fontId="0" fillId="0" borderId="22" xfId="3" applyNumberFormat="1" applyFont="1" applyBorder="1"/>
  </cellXfs>
  <cellStyles count="6">
    <cellStyle name="Comma" xfId="5" builtinId="3"/>
    <cellStyle name="Currency" xfId="3" builtinId="4"/>
    <cellStyle name="Hyperlink" xfId="2" builtinId="8"/>
    <cellStyle name="Input" xfId="1" builtinId="20"/>
    <cellStyle name="Normal" xfId="0" builtinId="0"/>
    <cellStyle name="Percent" xfId="4" builtinId="5"/>
  </cellStyles>
  <dxfs count="0"/>
  <tableStyles count="0" defaultTableStyle="TableStyleMedium2" defaultPivotStyle="PivotStyleLight16"/>
  <colors>
    <mruColors>
      <color rgb="FF208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127002</xdr:colOff>
      <xdr:row>2</xdr:row>
      <xdr:rowOff>161635</xdr:rowOff>
    </xdr:from>
    <xdr:to>
      <xdr:col>13</xdr:col>
      <xdr:colOff>568470</xdr:colOff>
      <xdr:row>28</xdr:row>
      <xdr:rowOff>107949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A77785-282E-4D08-9C72-B3351F555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5052" y="479135"/>
          <a:ext cx="7147068" cy="41436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13073</xdr:colOff>
      <xdr:row>0</xdr:row>
      <xdr:rowOff>1</xdr:rowOff>
    </xdr:from>
    <xdr:to>
      <xdr:col>2</xdr:col>
      <xdr:colOff>476250</xdr:colOff>
      <xdr:row>3</xdr:row>
      <xdr:rowOff>2661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1516F9-A825-4E74-A77E-AB39BA2AE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673" y="1"/>
          <a:ext cx="1072777" cy="66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linkedin.com/in/andrewgrig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B137-9720-463A-A931-A5DDBA505170}">
  <dimension ref="B20:O39"/>
  <sheetViews>
    <sheetView showGridLines="0" topLeftCell="A4" zoomScale="70" zoomScaleNormal="70" workbookViewId="0">
      <selection activeCell="B32" sqref="B32:O36"/>
    </sheetView>
  </sheetViews>
  <sheetFormatPr defaultColWidth="8.7265625" defaultRowHeight="13" x14ac:dyDescent="0.3"/>
  <cols>
    <col min="1" max="1" width="4.26953125" style="17" customWidth="1"/>
    <col min="2" max="14" width="8.7265625" style="17"/>
    <col min="15" max="15" width="10.1796875" style="17" bestFit="1" customWidth="1"/>
    <col min="16" max="16" width="3.26953125" style="17" customWidth="1"/>
    <col min="17" max="16384" width="8.7265625" style="17"/>
  </cols>
  <sheetData>
    <row r="20" spans="2:15" x14ac:dyDescent="0.3">
      <c r="B20" s="16"/>
      <c r="C20" s="16"/>
      <c r="D20" s="16"/>
      <c r="E20" s="16"/>
      <c r="F20" s="16"/>
      <c r="G20" s="16"/>
      <c r="H20" s="16"/>
      <c r="I20" s="16"/>
    </row>
    <row r="21" spans="2:15" x14ac:dyDescent="0.3">
      <c r="B21" s="18"/>
      <c r="C21" s="18"/>
      <c r="D21" s="18"/>
      <c r="E21" s="18"/>
      <c r="F21" s="18"/>
      <c r="G21" s="18"/>
      <c r="H21" s="18"/>
      <c r="I21" s="18"/>
      <c r="J21" s="19"/>
    </row>
    <row r="22" spans="2:15" x14ac:dyDescent="0.3">
      <c r="B22" s="18"/>
    </row>
    <row r="24" spans="2:15" ht="13" customHeight="1" x14ac:dyDescent="0.3"/>
    <row r="25" spans="2:15" ht="13" customHeight="1" x14ac:dyDescent="0.3"/>
    <row r="26" spans="2:15" ht="13" customHeight="1" x14ac:dyDescent="0.3"/>
    <row r="27" spans="2:15" ht="13" customHeight="1" x14ac:dyDescent="0.3"/>
    <row r="28" spans="2:15" ht="13" customHeight="1" x14ac:dyDescent="0.3"/>
    <row r="31" spans="2:15" x14ac:dyDescent="0.3">
      <c r="B31" s="20" t="s">
        <v>13</v>
      </c>
      <c r="O31" s="21">
        <v>44120</v>
      </c>
    </row>
    <row r="32" spans="2:15" x14ac:dyDescent="0.3">
      <c r="B32" s="94" t="s">
        <v>66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</row>
    <row r="33" spans="2:15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3"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3"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3">
      <c r="B37" s="95" t="s">
        <v>14</v>
      </c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</row>
    <row r="38" spans="2:15" x14ac:dyDescent="0.3"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</row>
    <row r="39" spans="2:15" x14ac:dyDescent="0.3"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</row>
  </sheetData>
  <mergeCells count="2">
    <mergeCell ref="B32:O36"/>
    <mergeCell ref="B37:O39"/>
  </mergeCells>
  <hyperlinks>
    <hyperlink ref="B31" r:id="rId1" xr:uid="{D7391B34-CEEC-4DE2-B93A-AFA97AE7CE78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52D80-AF2A-43F8-8C6B-BFA9C2E48C88}">
  <dimension ref="B2:X28"/>
  <sheetViews>
    <sheetView showGridLines="0" zoomScale="111" workbookViewId="0">
      <selection activeCell="P5" sqref="P5"/>
    </sheetView>
  </sheetViews>
  <sheetFormatPr defaultColWidth="8.7265625" defaultRowHeight="13" x14ac:dyDescent="0.3"/>
  <cols>
    <col min="1" max="1" width="3.26953125" style="6" customWidth="1"/>
    <col min="2" max="5" width="8.7265625" style="6"/>
    <col min="6" max="6" width="10.7265625" style="6" bestFit="1" customWidth="1"/>
    <col min="7" max="7" width="4.81640625" style="6" customWidth="1"/>
    <col min="8" max="10" width="8.7265625" style="6"/>
    <col min="11" max="11" width="9.81640625" style="6" bestFit="1" customWidth="1"/>
    <col min="12" max="12" width="13.54296875" style="6" bestFit="1" customWidth="1"/>
    <col min="13" max="13" width="5" style="6" customWidth="1"/>
    <col min="14" max="16384" width="8.7265625" style="6"/>
  </cols>
  <sheetData>
    <row r="2" spans="2:24" ht="23.5" x14ac:dyDescent="0.55000000000000004">
      <c r="B2" s="4" t="str">
        <f>F7</f>
        <v>GreenEnergo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2:24" ht="16" thickBot="1" x14ac:dyDescent="0.4">
      <c r="B3" s="7" t="s">
        <v>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6" spans="2:24" ht="26" x14ac:dyDescent="0.3">
      <c r="B6" s="9" t="s">
        <v>8</v>
      </c>
      <c r="C6" s="10"/>
      <c r="D6" s="10"/>
      <c r="E6" s="10"/>
      <c r="F6" s="10"/>
      <c r="G6" s="46"/>
      <c r="H6" s="9" t="s">
        <v>28</v>
      </c>
      <c r="I6" s="10"/>
      <c r="J6" s="10"/>
      <c r="K6" s="29" t="s">
        <v>48</v>
      </c>
      <c r="L6" s="47" t="s">
        <v>63</v>
      </c>
      <c r="N6" s="9" t="s">
        <v>32</v>
      </c>
      <c r="O6" s="10"/>
      <c r="P6" s="10"/>
      <c r="Q6" s="10"/>
      <c r="R6" s="10"/>
    </row>
    <row r="7" spans="2:24" x14ac:dyDescent="0.3">
      <c r="B7" s="11" t="s">
        <v>9</v>
      </c>
      <c r="F7" s="12" t="s">
        <v>20</v>
      </c>
      <c r="H7" s="11" t="s">
        <v>26</v>
      </c>
      <c r="J7" s="13" t="s">
        <v>12</v>
      </c>
      <c r="K7" s="15">
        <v>0.1</v>
      </c>
      <c r="L7" s="15">
        <v>0.02</v>
      </c>
      <c r="N7" s="11" t="s">
        <v>29</v>
      </c>
      <c r="Q7" s="13" t="s">
        <v>11</v>
      </c>
      <c r="R7" s="26">
        <v>0.35</v>
      </c>
    </row>
    <row r="8" spans="2:24" x14ac:dyDescent="0.3">
      <c r="B8" s="11" t="s">
        <v>15</v>
      </c>
      <c r="E8" s="13" t="s">
        <v>16</v>
      </c>
      <c r="F8" s="22">
        <v>44197</v>
      </c>
      <c r="H8" s="11" t="s">
        <v>27</v>
      </c>
      <c r="J8" s="13" t="s">
        <v>12</v>
      </c>
      <c r="K8" s="15">
        <v>0.5</v>
      </c>
      <c r="L8" s="15">
        <v>0.03</v>
      </c>
      <c r="N8" s="11" t="s">
        <v>36</v>
      </c>
      <c r="Q8" s="13" t="s">
        <v>11</v>
      </c>
      <c r="R8" s="26">
        <v>0.15</v>
      </c>
    </row>
    <row r="9" spans="2:24" x14ac:dyDescent="0.3">
      <c r="B9" s="11" t="s">
        <v>6</v>
      </c>
      <c r="E9" s="13" t="s">
        <v>12</v>
      </c>
      <c r="F9" s="15">
        <v>0.1</v>
      </c>
      <c r="H9" s="11" t="s">
        <v>46</v>
      </c>
      <c r="J9" s="13" t="s">
        <v>12</v>
      </c>
      <c r="K9" s="15">
        <v>0.4</v>
      </c>
      <c r="L9" s="15">
        <v>0.01</v>
      </c>
      <c r="N9" s="11" t="s">
        <v>64</v>
      </c>
      <c r="Q9" s="13" t="s">
        <v>12</v>
      </c>
      <c r="R9" s="15">
        <v>0.03</v>
      </c>
    </row>
    <row r="10" spans="2:24" x14ac:dyDescent="0.3">
      <c r="N10" s="11" t="s">
        <v>51</v>
      </c>
      <c r="Q10" s="13" t="s">
        <v>12</v>
      </c>
      <c r="R10" s="15">
        <v>0.03</v>
      </c>
    </row>
    <row r="11" spans="2:24" x14ac:dyDescent="0.3">
      <c r="B11" s="9" t="s">
        <v>0</v>
      </c>
      <c r="C11" s="10"/>
      <c r="D11" s="10"/>
      <c r="E11" s="10"/>
      <c r="F11" s="10"/>
      <c r="H11" s="11" t="s">
        <v>65</v>
      </c>
      <c r="K11" s="13" t="s">
        <v>12</v>
      </c>
      <c r="L11" s="30">
        <v>5.0000000000000001E-3</v>
      </c>
      <c r="T11" s="11"/>
      <c r="W11" s="13"/>
      <c r="X11" s="70"/>
    </row>
    <row r="12" spans="2:24" x14ac:dyDescent="0.3">
      <c r="B12" s="35" t="s">
        <v>17</v>
      </c>
      <c r="C12" s="36"/>
      <c r="D12" s="36"/>
      <c r="E12" s="37" t="s">
        <v>11</v>
      </c>
      <c r="F12" s="38">
        <v>50000</v>
      </c>
      <c r="H12" s="11" t="s">
        <v>47</v>
      </c>
      <c r="K12" s="13" t="s">
        <v>40</v>
      </c>
      <c r="L12" s="23">
        <v>1000</v>
      </c>
      <c r="T12" s="11"/>
      <c r="W12" s="13"/>
      <c r="X12" s="70"/>
    </row>
    <row r="13" spans="2:24" x14ac:dyDescent="0.3">
      <c r="B13" s="39" t="s">
        <v>18</v>
      </c>
      <c r="C13" s="40"/>
      <c r="D13" s="40"/>
      <c r="E13" s="41" t="s">
        <v>11</v>
      </c>
      <c r="F13" s="42">
        <v>360000</v>
      </c>
      <c r="T13" s="11"/>
      <c r="W13" s="13"/>
      <c r="X13" s="70"/>
    </row>
    <row r="14" spans="2:24" x14ac:dyDescent="0.3">
      <c r="B14" s="31" t="s">
        <v>19</v>
      </c>
      <c r="C14" s="10"/>
      <c r="D14" s="10"/>
      <c r="E14" s="43" t="s">
        <v>21</v>
      </c>
      <c r="F14" s="44">
        <v>12</v>
      </c>
    </row>
    <row r="15" spans="2:24" x14ac:dyDescent="0.3">
      <c r="B15" s="11" t="s">
        <v>10</v>
      </c>
      <c r="E15" s="13" t="s">
        <v>11</v>
      </c>
      <c r="F15" s="34">
        <v>150000</v>
      </c>
      <c r="H15" s="9" t="s">
        <v>30</v>
      </c>
      <c r="I15" s="10"/>
      <c r="J15" s="10"/>
      <c r="K15" s="29" t="s">
        <v>49</v>
      </c>
      <c r="L15" s="29" t="s">
        <v>50</v>
      </c>
      <c r="N15" s="9" t="s">
        <v>33</v>
      </c>
      <c r="O15" s="10"/>
      <c r="P15" s="10"/>
      <c r="Q15" s="9" t="s">
        <v>34</v>
      </c>
      <c r="R15" s="9" t="s">
        <v>35</v>
      </c>
    </row>
    <row r="16" spans="2:24" x14ac:dyDescent="0.3">
      <c r="B16" s="11" t="s">
        <v>22</v>
      </c>
      <c r="E16" s="13" t="s">
        <v>12</v>
      </c>
      <c r="F16" s="15">
        <v>0.5</v>
      </c>
      <c r="H16" s="11" t="s">
        <v>26</v>
      </c>
      <c r="J16" s="13" t="s">
        <v>31</v>
      </c>
      <c r="K16" s="23">
        <v>25</v>
      </c>
      <c r="L16" s="15">
        <v>0.65</v>
      </c>
      <c r="N16" s="11" t="s">
        <v>26</v>
      </c>
      <c r="Q16" s="27">
        <v>0.15</v>
      </c>
      <c r="R16" s="26">
        <v>5</v>
      </c>
    </row>
    <row r="17" spans="2:18" x14ac:dyDescent="0.3">
      <c r="B17" s="11" t="s">
        <v>23</v>
      </c>
      <c r="E17" s="13" t="s">
        <v>16</v>
      </c>
      <c r="F17" s="25">
        <v>44377</v>
      </c>
      <c r="H17" s="11" t="s">
        <v>27</v>
      </c>
      <c r="J17" s="13" t="s">
        <v>31</v>
      </c>
      <c r="K17" s="23">
        <v>50</v>
      </c>
      <c r="L17" s="15">
        <v>0.55000000000000004</v>
      </c>
      <c r="N17" s="11" t="s">
        <v>27</v>
      </c>
      <c r="Q17" s="27">
        <v>0.4</v>
      </c>
      <c r="R17" s="26">
        <v>10</v>
      </c>
    </row>
    <row r="18" spans="2:18" x14ac:dyDescent="0.3">
      <c r="B18" s="11" t="s">
        <v>24</v>
      </c>
      <c r="E18" s="13" t="s">
        <v>12</v>
      </c>
      <c r="F18" s="24">
        <f>1-F16</f>
        <v>0.5</v>
      </c>
      <c r="H18" s="11" t="s">
        <v>46</v>
      </c>
      <c r="J18" s="13" t="s">
        <v>31</v>
      </c>
      <c r="K18" s="23">
        <v>100</v>
      </c>
      <c r="L18" s="15">
        <v>0.4</v>
      </c>
      <c r="N18" s="31" t="s">
        <v>46</v>
      </c>
      <c r="O18" s="10"/>
      <c r="P18" s="10"/>
      <c r="Q18" s="32">
        <v>0.8</v>
      </c>
      <c r="R18" s="33">
        <v>15</v>
      </c>
    </row>
    <row r="19" spans="2:18" x14ac:dyDescent="0.3">
      <c r="B19" s="11" t="s">
        <v>25</v>
      </c>
      <c r="E19" s="13" t="s">
        <v>16</v>
      </c>
      <c r="F19" s="25">
        <v>44561</v>
      </c>
      <c r="N19" s="11" t="s">
        <v>53</v>
      </c>
      <c r="Q19" s="13" t="s">
        <v>12</v>
      </c>
      <c r="R19" s="15">
        <v>0.5</v>
      </c>
    </row>
    <row r="21" spans="2:18" x14ac:dyDescent="0.3">
      <c r="B21" s="9" t="s">
        <v>5</v>
      </c>
      <c r="C21" s="10"/>
      <c r="D21" s="10"/>
      <c r="E21" s="10"/>
      <c r="F21" s="10"/>
      <c r="H21" s="9" t="s">
        <v>56</v>
      </c>
      <c r="I21" s="10"/>
      <c r="J21" s="10"/>
      <c r="K21" s="10"/>
      <c r="L21" s="10"/>
      <c r="N21" s="9" t="s">
        <v>1</v>
      </c>
      <c r="O21" s="10"/>
      <c r="P21" s="10"/>
      <c r="Q21" s="10"/>
      <c r="R21" s="10"/>
    </row>
    <row r="22" spans="2:18" x14ac:dyDescent="0.3">
      <c r="B22" s="11" t="s">
        <v>42</v>
      </c>
      <c r="E22" s="13" t="s">
        <v>12</v>
      </c>
      <c r="F22" s="15">
        <v>0.8</v>
      </c>
      <c r="H22" s="11" t="s">
        <v>57</v>
      </c>
      <c r="K22" s="13" t="s">
        <v>12</v>
      </c>
      <c r="L22" s="15">
        <v>0.2</v>
      </c>
      <c r="N22" s="11" t="s">
        <v>37</v>
      </c>
      <c r="Q22" s="13" t="s">
        <v>40</v>
      </c>
      <c r="R22" s="23">
        <v>9</v>
      </c>
    </row>
    <row r="23" spans="2:18" x14ac:dyDescent="0.3">
      <c r="B23" s="11" t="s">
        <v>43</v>
      </c>
      <c r="E23" s="13" t="s">
        <v>12</v>
      </c>
      <c r="F23" s="15">
        <v>0.03</v>
      </c>
      <c r="H23" s="11" t="s">
        <v>58</v>
      </c>
      <c r="K23" s="13" t="s">
        <v>12</v>
      </c>
      <c r="L23" s="15">
        <v>0.75</v>
      </c>
      <c r="N23" s="11" t="s">
        <v>38</v>
      </c>
      <c r="Q23" s="13" t="s">
        <v>41</v>
      </c>
      <c r="R23" s="14">
        <v>2500</v>
      </c>
    </row>
    <row r="24" spans="2:18" x14ac:dyDescent="0.3">
      <c r="B24" s="11" t="s">
        <v>44</v>
      </c>
      <c r="E24" s="13" t="s">
        <v>45</v>
      </c>
      <c r="F24" s="23">
        <v>9</v>
      </c>
      <c r="H24" s="11" t="s">
        <v>59</v>
      </c>
      <c r="K24" s="13" t="s">
        <v>12</v>
      </c>
      <c r="L24" s="15">
        <v>0.5</v>
      </c>
      <c r="N24" s="11" t="s">
        <v>54</v>
      </c>
      <c r="Q24" s="13" t="s">
        <v>12</v>
      </c>
      <c r="R24" s="15">
        <v>0.2</v>
      </c>
    </row>
    <row r="25" spans="2:18" x14ac:dyDescent="0.3">
      <c r="N25" s="11" t="s">
        <v>55</v>
      </c>
      <c r="Q25" s="13" t="s">
        <v>12</v>
      </c>
      <c r="R25" s="15">
        <v>0.1</v>
      </c>
    </row>
    <row r="26" spans="2:18" x14ac:dyDescent="0.3">
      <c r="B26" s="9" t="s">
        <v>62</v>
      </c>
      <c r="C26" s="10"/>
      <c r="D26" s="10"/>
      <c r="E26" s="10"/>
      <c r="F26" s="10"/>
      <c r="N26" s="11" t="s">
        <v>39</v>
      </c>
      <c r="Q26" s="13" t="s">
        <v>41</v>
      </c>
      <c r="R26" s="14">
        <v>3000</v>
      </c>
    </row>
    <row r="27" spans="2:18" x14ac:dyDescent="0.3">
      <c r="B27" s="39" t="s">
        <v>60</v>
      </c>
      <c r="C27" s="40"/>
      <c r="D27" s="40"/>
      <c r="E27" s="41" t="s">
        <v>61</v>
      </c>
      <c r="F27" s="45">
        <v>7</v>
      </c>
      <c r="N27" s="11" t="s">
        <v>52</v>
      </c>
      <c r="Q27" s="13" t="s">
        <v>12</v>
      </c>
      <c r="R27" s="30">
        <v>2.5000000000000001E-2</v>
      </c>
    </row>
    <row r="28" spans="2:18" x14ac:dyDescent="0.3">
      <c r="B28" s="11" t="s">
        <v>6</v>
      </c>
      <c r="E28" s="13" t="s">
        <v>12</v>
      </c>
      <c r="F28" s="15">
        <v>0.08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970D0-8A28-4297-9221-E1E592BAB18D}">
  <dimension ref="A2:DU95"/>
  <sheetViews>
    <sheetView showGridLines="0" tabSelected="1" zoomScale="83" zoomScaleNormal="100" workbookViewId="0">
      <pane xSplit="2" ySplit="6" topLeftCell="C7" activePane="bottomRight" state="frozen"/>
      <selection pane="topRight" activeCell="E1" sqref="E1"/>
      <selection pane="bottomLeft" activeCell="A7" sqref="A7"/>
      <selection pane="bottomRight" activeCell="L76" sqref="L76"/>
    </sheetView>
  </sheetViews>
  <sheetFormatPr defaultColWidth="13.6328125" defaultRowHeight="14.5" x14ac:dyDescent="0.35"/>
  <cols>
    <col min="3" max="3" width="15.08984375" bestFit="1" customWidth="1"/>
    <col min="5" max="5" width="13.6328125" customWidth="1"/>
    <col min="10" max="10" width="15.54296875" bestFit="1" customWidth="1"/>
  </cols>
  <sheetData>
    <row r="2" spans="1:125" ht="16" thickBot="1" x14ac:dyDescent="0.4">
      <c r="A2" s="28" t="str">
        <f>Assumptions!$F$7&amp;" E-Car Charging Station. Financial Forecast."</f>
        <v>GreenEnergo E-Car Charging Station. Financial Forecast.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</row>
    <row r="3" spans="1:125" ht="15" thickTop="1" x14ac:dyDescent="0.35"/>
    <row r="4" spans="1:125" s="3" customFormat="1" ht="12" x14ac:dyDescent="0.3">
      <c r="A4" s="1" t="s">
        <v>2</v>
      </c>
      <c r="B4" s="1"/>
      <c r="C4" s="1"/>
      <c r="D4" s="2">
        <v>44197</v>
      </c>
      <c r="E4" s="2">
        <f>D5+1</f>
        <v>44228</v>
      </c>
      <c r="F4" s="2">
        <f t="shared" ref="F4:O4" si="0">E5+1</f>
        <v>44256</v>
      </c>
      <c r="G4" s="2">
        <f t="shared" si="0"/>
        <v>44287</v>
      </c>
      <c r="H4" s="2">
        <f t="shared" si="0"/>
        <v>44317</v>
      </c>
      <c r="I4" s="2">
        <f t="shared" si="0"/>
        <v>44348</v>
      </c>
      <c r="J4" s="2">
        <f t="shared" si="0"/>
        <v>44378</v>
      </c>
      <c r="K4" s="2">
        <f t="shared" si="0"/>
        <v>44409</v>
      </c>
      <c r="L4" s="2">
        <f t="shared" si="0"/>
        <v>44440</v>
      </c>
      <c r="M4" s="2">
        <f t="shared" si="0"/>
        <v>44470</v>
      </c>
      <c r="N4" s="2">
        <f t="shared" si="0"/>
        <v>44501</v>
      </c>
      <c r="O4" s="2">
        <f t="shared" si="0"/>
        <v>44531</v>
      </c>
      <c r="P4" s="2">
        <f t="shared" ref="P4" si="1">O5+1</f>
        <v>44562</v>
      </c>
      <c r="Q4" s="2">
        <f t="shared" ref="Q4" si="2">P5+1</f>
        <v>44593</v>
      </c>
      <c r="R4" s="2">
        <f t="shared" ref="R4" si="3">Q5+1</f>
        <v>44621</v>
      </c>
      <c r="S4" s="2">
        <f t="shared" ref="S4" si="4">R5+1</f>
        <v>44652</v>
      </c>
      <c r="T4" s="2">
        <f t="shared" ref="T4" si="5">S5+1</f>
        <v>44682</v>
      </c>
      <c r="U4" s="2">
        <f t="shared" ref="U4" si="6">T5+1</f>
        <v>44713</v>
      </c>
      <c r="V4" s="2">
        <f t="shared" ref="V4" si="7">U5+1</f>
        <v>44743</v>
      </c>
      <c r="W4" s="2">
        <f t="shared" ref="W4" si="8">V5+1</f>
        <v>44774</v>
      </c>
      <c r="X4" s="2">
        <f t="shared" ref="X4" si="9">W5+1</f>
        <v>44805</v>
      </c>
      <c r="Y4" s="2">
        <f t="shared" ref="Y4" si="10">X5+1</f>
        <v>44835</v>
      </c>
      <c r="Z4" s="2">
        <f t="shared" ref="Z4" si="11">Y5+1</f>
        <v>44866</v>
      </c>
      <c r="AA4" s="2">
        <f t="shared" ref="AA4" si="12">Z5+1</f>
        <v>44896</v>
      </c>
      <c r="AB4" s="2">
        <f t="shared" ref="AB4" si="13">AA5+1</f>
        <v>44927</v>
      </c>
      <c r="AC4" s="2">
        <f t="shared" ref="AC4" si="14">AB5+1</f>
        <v>44958</v>
      </c>
      <c r="AD4" s="2">
        <f t="shared" ref="AD4" si="15">AC5+1</f>
        <v>44986</v>
      </c>
      <c r="AE4" s="2">
        <f t="shared" ref="AE4" si="16">AD5+1</f>
        <v>45017</v>
      </c>
      <c r="AF4" s="2">
        <f t="shared" ref="AF4" si="17">AE5+1</f>
        <v>45047</v>
      </c>
      <c r="AG4" s="2">
        <f t="shared" ref="AG4" si="18">AF5+1</f>
        <v>45078</v>
      </c>
      <c r="AH4" s="2">
        <f t="shared" ref="AH4" si="19">AG5+1</f>
        <v>45108</v>
      </c>
      <c r="AI4" s="2">
        <f t="shared" ref="AI4" si="20">AH5+1</f>
        <v>45139</v>
      </c>
      <c r="AJ4" s="2">
        <f t="shared" ref="AJ4" si="21">AI5+1</f>
        <v>45170</v>
      </c>
      <c r="AK4" s="2">
        <f t="shared" ref="AK4" si="22">AJ5+1</f>
        <v>45200</v>
      </c>
      <c r="AL4" s="2">
        <f t="shared" ref="AL4" si="23">AK5+1</f>
        <v>45231</v>
      </c>
      <c r="AM4" s="2">
        <f t="shared" ref="AM4" si="24">AL5+1</f>
        <v>45261</v>
      </c>
      <c r="AN4" s="2">
        <f t="shared" ref="AN4" si="25">AM5+1</f>
        <v>45292</v>
      </c>
      <c r="AO4" s="2">
        <f t="shared" ref="AO4" si="26">AN5+1</f>
        <v>45323</v>
      </c>
      <c r="AP4" s="2">
        <f t="shared" ref="AP4" si="27">AO5+1</f>
        <v>45352</v>
      </c>
      <c r="AQ4" s="2">
        <f t="shared" ref="AQ4" si="28">AP5+1</f>
        <v>45383</v>
      </c>
      <c r="AR4" s="2">
        <f t="shared" ref="AR4" si="29">AQ5+1</f>
        <v>45413</v>
      </c>
      <c r="AS4" s="2">
        <f t="shared" ref="AS4" si="30">AR5+1</f>
        <v>45444</v>
      </c>
      <c r="AT4" s="2">
        <f t="shared" ref="AT4" si="31">AS5+1</f>
        <v>45474</v>
      </c>
      <c r="AU4" s="2">
        <f t="shared" ref="AU4" si="32">AT5+1</f>
        <v>45505</v>
      </c>
      <c r="AV4" s="2">
        <f t="shared" ref="AV4" si="33">AU5+1</f>
        <v>45536</v>
      </c>
      <c r="AW4" s="2">
        <f t="shared" ref="AW4" si="34">AV5+1</f>
        <v>45566</v>
      </c>
      <c r="AX4" s="2">
        <f t="shared" ref="AX4" si="35">AW5+1</f>
        <v>45597</v>
      </c>
      <c r="AY4" s="2">
        <f t="shared" ref="AY4" si="36">AX5+1</f>
        <v>45627</v>
      </c>
      <c r="AZ4" s="2">
        <f t="shared" ref="AZ4" si="37">AY5+1</f>
        <v>45658</v>
      </c>
      <c r="BA4" s="2">
        <f t="shared" ref="BA4" si="38">AZ5+1</f>
        <v>45689</v>
      </c>
      <c r="BB4" s="2">
        <f t="shared" ref="BB4" si="39">BA5+1</f>
        <v>45717</v>
      </c>
      <c r="BC4" s="2">
        <f t="shared" ref="BC4" si="40">BB5+1</f>
        <v>45748</v>
      </c>
      <c r="BD4" s="2">
        <f t="shared" ref="BD4" si="41">BC5+1</f>
        <v>45778</v>
      </c>
      <c r="BE4" s="2">
        <f t="shared" ref="BE4" si="42">BD5+1</f>
        <v>45809</v>
      </c>
      <c r="BF4" s="2">
        <f t="shared" ref="BF4" si="43">BE5+1</f>
        <v>45839</v>
      </c>
      <c r="BG4" s="2">
        <f t="shared" ref="BG4" si="44">BF5+1</f>
        <v>45870</v>
      </c>
      <c r="BH4" s="2">
        <f t="shared" ref="BH4" si="45">BG5+1</f>
        <v>45901</v>
      </c>
      <c r="BI4" s="2">
        <f t="shared" ref="BI4" si="46">BH5+1</f>
        <v>45931</v>
      </c>
      <c r="BJ4" s="2">
        <f t="shared" ref="BJ4" si="47">BI5+1</f>
        <v>45962</v>
      </c>
      <c r="BK4" s="2">
        <f t="shared" ref="BK4" si="48">BJ5+1</f>
        <v>45992</v>
      </c>
      <c r="BL4" s="2">
        <f t="shared" ref="BL4" si="49">BK5+1</f>
        <v>46023</v>
      </c>
      <c r="BM4" s="2">
        <f t="shared" ref="BM4" si="50">BL5+1</f>
        <v>46054</v>
      </c>
      <c r="BN4" s="2">
        <f t="shared" ref="BN4" si="51">BM5+1</f>
        <v>46082</v>
      </c>
      <c r="BO4" s="2">
        <f t="shared" ref="BO4" si="52">BN5+1</f>
        <v>46113</v>
      </c>
      <c r="BP4" s="2">
        <f t="shared" ref="BP4" si="53">BO5+1</f>
        <v>46143</v>
      </c>
      <c r="BQ4" s="2">
        <f t="shared" ref="BQ4" si="54">BP5+1</f>
        <v>46174</v>
      </c>
      <c r="BR4" s="2">
        <f t="shared" ref="BR4" si="55">BQ5+1</f>
        <v>46204</v>
      </c>
      <c r="BS4" s="2">
        <f t="shared" ref="BS4" si="56">BR5+1</f>
        <v>46235</v>
      </c>
      <c r="BT4" s="2">
        <f t="shared" ref="BT4" si="57">BS5+1</f>
        <v>46266</v>
      </c>
      <c r="BU4" s="2">
        <f t="shared" ref="BU4" si="58">BT5+1</f>
        <v>46296</v>
      </c>
      <c r="BV4" s="2">
        <f t="shared" ref="BV4" si="59">BU5+1</f>
        <v>46327</v>
      </c>
      <c r="BW4" s="2">
        <f t="shared" ref="BW4" si="60">BV5+1</f>
        <v>46357</v>
      </c>
      <c r="BX4" s="2">
        <f t="shared" ref="BX4" si="61">BW5+1</f>
        <v>46388</v>
      </c>
      <c r="BY4" s="2">
        <f t="shared" ref="BY4" si="62">BX5+1</f>
        <v>46419</v>
      </c>
      <c r="BZ4" s="2">
        <f t="shared" ref="BZ4" si="63">BY5+1</f>
        <v>46447</v>
      </c>
      <c r="CA4" s="2">
        <f t="shared" ref="CA4" si="64">BZ5+1</f>
        <v>46478</v>
      </c>
      <c r="CB4" s="2">
        <f t="shared" ref="CB4" si="65">CA5+1</f>
        <v>46508</v>
      </c>
      <c r="CC4" s="2">
        <f t="shared" ref="CC4" si="66">CB5+1</f>
        <v>46539</v>
      </c>
      <c r="CD4" s="2">
        <f t="shared" ref="CD4" si="67">CC5+1</f>
        <v>46569</v>
      </c>
      <c r="CE4" s="2">
        <f t="shared" ref="CE4" si="68">CD5+1</f>
        <v>46600</v>
      </c>
      <c r="CF4" s="2">
        <f t="shared" ref="CF4" si="69">CE5+1</f>
        <v>46631</v>
      </c>
      <c r="CG4" s="2">
        <f t="shared" ref="CG4" si="70">CF5+1</f>
        <v>46661</v>
      </c>
      <c r="CH4" s="2">
        <f t="shared" ref="CH4" si="71">CG5+1</f>
        <v>46692</v>
      </c>
      <c r="CI4" s="2">
        <f t="shared" ref="CI4" si="72">CH5+1</f>
        <v>46722</v>
      </c>
      <c r="CJ4" s="2">
        <f t="shared" ref="CJ4" si="73">CI5+1</f>
        <v>46753</v>
      </c>
      <c r="CK4" s="2">
        <f t="shared" ref="CK4" si="74">CJ5+1</f>
        <v>46784</v>
      </c>
      <c r="CL4" s="2">
        <f t="shared" ref="CL4" si="75">CK5+1</f>
        <v>46813</v>
      </c>
      <c r="CM4" s="2">
        <f t="shared" ref="CM4" si="76">CL5+1</f>
        <v>46844</v>
      </c>
      <c r="CN4" s="2">
        <f t="shared" ref="CN4" si="77">CM5+1</f>
        <v>46874</v>
      </c>
      <c r="CO4" s="2">
        <f t="shared" ref="CO4" si="78">CN5+1</f>
        <v>46905</v>
      </c>
      <c r="CP4" s="2">
        <f t="shared" ref="CP4" si="79">CO5+1</f>
        <v>46935</v>
      </c>
      <c r="CQ4" s="2">
        <f t="shared" ref="CQ4" si="80">CP5+1</f>
        <v>46966</v>
      </c>
      <c r="CR4" s="2">
        <f t="shared" ref="CR4" si="81">CQ5+1</f>
        <v>46997</v>
      </c>
      <c r="CS4" s="2">
        <f t="shared" ref="CS4" si="82">CR5+1</f>
        <v>47027</v>
      </c>
      <c r="CT4" s="2">
        <f t="shared" ref="CT4" si="83">CS5+1</f>
        <v>47058</v>
      </c>
      <c r="CU4" s="2">
        <f t="shared" ref="CU4" si="84">CT5+1</f>
        <v>47088</v>
      </c>
      <c r="CV4" s="2">
        <f t="shared" ref="CV4" si="85">CU5+1</f>
        <v>47119</v>
      </c>
      <c r="CW4" s="2">
        <f t="shared" ref="CW4" si="86">CV5+1</f>
        <v>47150</v>
      </c>
      <c r="CX4" s="2">
        <f t="shared" ref="CX4" si="87">CW5+1</f>
        <v>47178</v>
      </c>
      <c r="CY4" s="2">
        <f t="shared" ref="CY4" si="88">CX5+1</f>
        <v>47209</v>
      </c>
      <c r="CZ4" s="2">
        <f t="shared" ref="CZ4" si="89">CY5+1</f>
        <v>47239</v>
      </c>
      <c r="DA4" s="2">
        <f t="shared" ref="DA4" si="90">CZ5+1</f>
        <v>47270</v>
      </c>
      <c r="DB4" s="2">
        <f t="shared" ref="DB4" si="91">DA5+1</f>
        <v>47300</v>
      </c>
      <c r="DC4" s="2">
        <f t="shared" ref="DC4" si="92">DB5+1</f>
        <v>47331</v>
      </c>
      <c r="DD4" s="2">
        <f t="shared" ref="DD4" si="93">DC5+1</f>
        <v>47362</v>
      </c>
      <c r="DE4" s="2">
        <f t="shared" ref="DE4" si="94">DD5+1</f>
        <v>47392</v>
      </c>
      <c r="DF4" s="2">
        <f t="shared" ref="DF4" si="95">DE5+1</f>
        <v>47423</v>
      </c>
      <c r="DG4" s="2">
        <f t="shared" ref="DG4" si="96">DF5+1</f>
        <v>47453</v>
      </c>
      <c r="DH4" s="2">
        <f t="shared" ref="DH4" si="97">DG5+1</f>
        <v>47484</v>
      </c>
      <c r="DI4" s="2">
        <f t="shared" ref="DI4" si="98">DH5+1</f>
        <v>47515</v>
      </c>
      <c r="DJ4" s="2">
        <f t="shared" ref="DJ4" si="99">DI5+1</f>
        <v>47543</v>
      </c>
      <c r="DK4" s="2">
        <f t="shared" ref="DK4" si="100">DJ5+1</f>
        <v>47574</v>
      </c>
      <c r="DL4" s="2">
        <f t="shared" ref="DL4" si="101">DK5+1</f>
        <v>47604</v>
      </c>
      <c r="DM4" s="2">
        <f t="shared" ref="DM4" si="102">DL5+1</f>
        <v>47635</v>
      </c>
      <c r="DN4" s="2">
        <f t="shared" ref="DN4" si="103">DM5+1</f>
        <v>47665</v>
      </c>
      <c r="DO4" s="2">
        <f t="shared" ref="DO4" si="104">DN5+1</f>
        <v>47696</v>
      </c>
      <c r="DP4" s="2">
        <f t="shared" ref="DP4" si="105">DO5+1</f>
        <v>47727</v>
      </c>
      <c r="DQ4" s="2">
        <f t="shared" ref="DQ4" si="106">DP5+1</f>
        <v>47757</v>
      </c>
      <c r="DR4" s="2">
        <f t="shared" ref="DR4" si="107">DQ5+1</f>
        <v>47788</v>
      </c>
      <c r="DS4" s="2">
        <f t="shared" ref="DS4" si="108">DR5+1</f>
        <v>47818</v>
      </c>
      <c r="DT4" s="2"/>
      <c r="DU4" s="2"/>
    </row>
    <row r="5" spans="1:125" s="3" customFormat="1" ht="12" x14ac:dyDescent="0.3">
      <c r="A5" s="1" t="s">
        <v>3</v>
      </c>
      <c r="B5" s="1"/>
      <c r="C5" s="2">
        <f>D4-1</f>
        <v>44196</v>
      </c>
      <c r="D5" s="2">
        <f>EOMONTH(D4,0)</f>
        <v>44227</v>
      </c>
      <c r="E5" s="2">
        <f t="shared" ref="E5:O5" si="109">EOMONTH(E4,0)</f>
        <v>44255</v>
      </c>
      <c r="F5" s="2">
        <f t="shared" si="109"/>
        <v>44286</v>
      </c>
      <c r="G5" s="2">
        <f t="shared" si="109"/>
        <v>44316</v>
      </c>
      <c r="H5" s="2">
        <f t="shared" si="109"/>
        <v>44347</v>
      </c>
      <c r="I5" s="2">
        <f t="shared" si="109"/>
        <v>44377</v>
      </c>
      <c r="J5" s="2">
        <f t="shared" si="109"/>
        <v>44408</v>
      </c>
      <c r="K5" s="2">
        <f t="shared" si="109"/>
        <v>44439</v>
      </c>
      <c r="L5" s="2">
        <f t="shared" si="109"/>
        <v>44469</v>
      </c>
      <c r="M5" s="2">
        <f t="shared" si="109"/>
        <v>44500</v>
      </c>
      <c r="N5" s="2">
        <f t="shared" si="109"/>
        <v>44530</v>
      </c>
      <c r="O5" s="2">
        <f t="shared" si="109"/>
        <v>44561</v>
      </c>
      <c r="P5" s="2">
        <f t="shared" ref="P5" si="110">EOMONTH(P4,0)</f>
        <v>44592</v>
      </c>
      <c r="Q5" s="2">
        <f t="shared" ref="Q5" si="111">EOMONTH(Q4,0)</f>
        <v>44620</v>
      </c>
      <c r="R5" s="2">
        <f t="shared" ref="R5" si="112">EOMONTH(R4,0)</f>
        <v>44651</v>
      </c>
      <c r="S5" s="2">
        <f t="shared" ref="S5" si="113">EOMONTH(S4,0)</f>
        <v>44681</v>
      </c>
      <c r="T5" s="2">
        <f t="shared" ref="T5" si="114">EOMONTH(T4,0)</f>
        <v>44712</v>
      </c>
      <c r="U5" s="2">
        <f t="shared" ref="U5" si="115">EOMONTH(U4,0)</f>
        <v>44742</v>
      </c>
      <c r="V5" s="2">
        <f t="shared" ref="V5" si="116">EOMONTH(V4,0)</f>
        <v>44773</v>
      </c>
      <c r="W5" s="2">
        <f t="shared" ref="W5" si="117">EOMONTH(W4,0)</f>
        <v>44804</v>
      </c>
      <c r="X5" s="2">
        <f t="shared" ref="X5" si="118">EOMONTH(X4,0)</f>
        <v>44834</v>
      </c>
      <c r="Y5" s="2">
        <f t="shared" ref="Y5" si="119">EOMONTH(Y4,0)</f>
        <v>44865</v>
      </c>
      <c r="Z5" s="2">
        <f t="shared" ref="Z5" si="120">EOMONTH(Z4,0)</f>
        <v>44895</v>
      </c>
      <c r="AA5" s="2">
        <f t="shared" ref="AA5" si="121">EOMONTH(AA4,0)</f>
        <v>44926</v>
      </c>
      <c r="AB5" s="2">
        <f t="shared" ref="AB5" si="122">EOMONTH(AB4,0)</f>
        <v>44957</v>
      </c>
      <c r="AC5" s="2">
        <f t="shared" ref="AC5" si="123">EOMONTH(AC4,0)</f>
        <v>44985</v>
      </c>
      <c r="AD5" s="2">
        <f t="shared" ref="AD5" si="124">EOMONTH(AD4,0)</f>
        <v>45016</v>
      </c>
      <c r="AE5" s="2">
        <f t="shared" ref="AE5" si="125">EOMONTH(AE4,0)</f>
        <v>45046</v>
      </c>
      <c r="AF5" s="2">
        <f t="shared" ref="AF5" si="126">EOMONTH(AF4,0)</f>
        <v>45077</v>
      </c>
      <c r="AG5" s="2">
        <f t="shared" ref="AG5" si="127">EOMONTH(AG4,0)</f>
        <v>45107</v>
      </c>
      <c r="AH5" s="2">
        <f t="shared" ref="AH5" si="128">EOMONTH(AH4,0)</f>
        <v>45138</v>
      </c>
      <c r="AI5" s="2">
        <f t="shared" ref="AI5" si="129">EOMONTH(AI4,0)</f>
        <v>45169</v>
      </c>
      <c r="AJ5" s="2">
        <f t="shared" ref="AJ5" si="130">EOMONTH(AJ4,0)</f>
        <v>45199</v>
      </c>
      <c r="AK5" s="2">
        <f t="shared" ref="AK5" si="131">EOMONTH(AK4,0)</f>
        <v>45230</v>
      </c>
      <c r="AL5" s="2">
        <f t="shared" ref="AL5" si="132">EOMONTH(AL4,0)</f>
        <v>45260</v>
      </c>
      <c r="AM5" s="2">
        <f t="shared" ref="AM5" si="133">EOMONTH(AM4,0)</f>
        <v>45291</v>
      </c>
      <c r="AN5" s="2">
        <f t="shared" ref="AN5" si="134">EOMONTH(AN4,0)</f>
        <v>45322</v>
      </c>
      <c r="AO5" s="2">
        <f t="shared" ref="AO5" si="135">EOMONTH(AO4,0)</f>
        <v>45351</v>
      </c>
      <c r="AP5" s="2">
        <f t="shared" ref="AP5" si="136">EOMONTH(AP4,0)</f>
        <v>45382</v>
      </c>
      <c r="AQ5" s="2">
        <f t="shared" ref="AQ5" si="137">EOMONTH(AQ4,0)</f>
        <v>45412</v>
      </c>
      <c r="AR5" s="2">
        <f t="shared" ref="AR5" si="138">EOMONTH(AR4,0)</f>
        <v>45443</v>
      </c>
      <c r="AS5" s="2">
        <f t="shared" ref="AS5" si="139">EOMONTH(AS4,0)</f>
        <v>45473</v>
      </c>
      <c r="AT5" s="2">
        <f t="shared" ref="AT5" si="140">EOMONTH(AT4,0)</f>
        <v>45504</v>
      </c>
      <c r="AU5" s="2">
        <f t="shared" ref="AU5" si="141">EOMONTH(AU4,0)</f>
        <v>45535</v>
      </c>
      <c r="AV5" s="2">
        <f t="shared" ref="AV5" si="142">EOMONTH(AV4,0)</f>
        <v>45565</v>
      </c>
      <c r="AW5" s="2">
        <f t="shared" ref="AW5" si="143">EOMONTH(AW4,0)</f>
        <v>45596</v>
      </c>
      <c r="AX5" s="2">
        <f t="shared" ref="AX5" si="144">EOMONTH(AX4,0)</f>
        <v>45626</v>
      </c>
      <c r="AY5" s="2">
        <f t="shared" ref="AY5" si="145">EOMONTH(AY4,0)</f>
        <v>45657</v>
      </c>
      <c r="AZ5" s="2">
        <f t="shared" ref="AZ5" si="146">EOMONTH(AZ4,0)</f>
        <v>45688</v>
      </c>
      <c r="BA5" s="2">
        <f t="shared" ref="BA5" si="147">EOMONTH(BA4,0)</f>
        <v>45716</v>
      </c>
      <c r="BB5" s="2">
        <f t="shared" ref="BB5" si="148">EOMONTH(BB4,0)</f>
        <v>45747</v>
      </c>
      <c r="BC5" s="2">
        <f t="shared" ref="BC5" si="149">EOMONTH(BC4,0)</f>
        <v>45777</v>
      </c>
      <c r="BD5" s="2">
        <f t="shared" ref="BD5" si="150">EOMONTH(BD4,0)</f>
        <v>45808</v>
      </c>
      <c r="BE5" s="2">
        <f t="shared" ref="BE5" si="151">EOMONTH(BE4,0)</f>
        <v>45838</v>
      </c>
      <c r="BF5" s="2">
        <f t="shared" ref="BF5" si="152">EOMONTH(BF4,0)</f>
        <v>45869</v>
      </c>
      <c r="BG5" s="2">
        <f t="shared" ref="BG5" si="153">EOMONTH(BG4,0)</f>
        <v>45900</v>
      </c>
      <c r="BH5" s="2">
        <f t="shared" ref="BH5" si="154">EOMONTH(BH4,0)</f>
        <v>45930</v>
      </c>
      <c r="BI5" s="2">
        <f t="shared" ref="BI5" si="155">EOMONTH(BI4,0)</f>
        <v>45961</v>
      </c>
      <c r="BJ5" s="2">
        <f t="shared" ref="BJ5" si="156">EOMONTH(BJ4,0)</f>
        <v>45991</v>
      </c>
      <c r="BK5" s="2">
        <f t="shared" ref="BK5" si="157">EOMONTH(BK4,0)</f>
        <v>46022</v>
      </c>
      <c r="BL5" s="2">
        <f t="shared" ref="BL5" si="158">EOMONTH(BL4,0)</f>
        <v>46053</v>
      </c>
      <c r="BM5" s="2">
        <f t="shared" ref="BM5" si="159">EOMONTH(BM4,0)</f>
        <v>46081</v>
      </c>
      <c r="BN5" s="2">
        <f t="shared" ref="BN5" si="160">EOMONTH(BN4,0)</f>
        <v>46112</v>
      </c>
      <c r="BO5" s="2">
        <f t="shared" ref="BO5" si="161">EOMONTH(BO4,0)</f>
        <v>46142</v>
      </c>
      <c r="BP5" s="2">
        <f t="shared" ref="BP5" si="162">EOMONTH(BP4,0)</f>
        <v>46173</v>
      </c>
      <c r="BQ5" s="2">
        <f t="shared" ref="BQ5" si="163">EOMONTH(BQ4,0)</f>
        <v>46203</v>
      </c>
      <c r="BR5" s="2">
        <f t="shared" ref="BR5" si="164">EOMONTH(BR4,0)</f>
        <v>46234</v>
      </c>
      <c r="BS5" s="2">
        <f t="shared" ref="BS5" si="165">EOMONTH(BS4,0)</f>
        <v>46265</v>
      </c>
      <c r="BT5" s="2">
        <f t="shared" ref="BT5" si="166">EOMONTH(BT4,0)</f>
        <v>46295</v>
      </c>
      <c r="BU5" s="2">
        <f t="shared" ref="BU5" si="167">EOMONTH(BU4,0)</f>
        <v>46326</v>
      </c>
      <c r="BV5" s="2">
        <f t="shared" ref="BV5" si="168">EOMONTH(BV4,0)</f>
        <v>46356</v>
      </c>
      <c r="BW5" s="2">
        <f t="shared" ref="BW5" si="169">EOMONTH(BW4,0)</f>
        <v>46387</v>
      </c>
      <c r="BX5" s="2">
        <f t="shared" ref="BX5" si="170">EOMONTH(BX4,0)</f>
        <v>46418</v>
      </c>
      <c r="BY5" s="2">
        <f t="shared" ref="BY5" si="171">EOMONTH(BY4,0)</f>
        <v>46446</v>
      </c>
      <c r="BZ5" s="2">
        <f t="shared" ref="BZ5" si="172">EOMONTH(BZ4,0)</f>
        <v>46477</v>
      </c>
      <c r="CA5" s="2">
        <f t="shared" ref="CA5" si="173">EOMONTH(CA4,0)</f>
        <v>46507</v>
      </c>
      <c r="CB5" s="2">
        <f t="shared" ref="CB5" si="174">EOMONTH(CB4,0)</f>
        <v>46538</v>
      </c>
      <c r="CC5" s="2">
        <f t="shared" ref="CC5" si="175">EOMONTH(CC4,0)</f>
        <v>46568</v>
      </c>
      <c r="CD5" s="2">
        <f t="shared" ref="CD5" si="176">EOMONTH(CD4,0)</f>
        <v>46599</v>
      </c>
      <c r="CE5" s="2">
        <f t="shared" ref="CE5" si="177">EOMONTH(CE4,0)</f>
        <v>46630</v>
      </c>
      <c r="CF5" s="2">
        <f t="shared" ref="CF5" si="178">EOMONTH(CF4,0)</f>
        <v>46660</v>
      </c>
      <c r="CG5" s="2">
        <f t="shared" ref="CG5" si="179">EOMONTH(CG4,0)</f>
        <v>46691</v>
      </c>
      <c r="CH5" s="2">
        <f t="shared" ref="CH5" si="180">EOMONTH(CH4,0)</f>
        <v>46721</v>
      </c>
      <c r="CI5" s="2">
        <f t="shared" ref="CI5" si="181">EOMONTH(CI4,0)</f>
        <v>46752</v>
      </c>
      <c r="CJ5" s="2">
        <f t="shared" ref="CJ5" si="182">EOMONTH(CJ4,0)</f>
        <v>46783</v>
      </c>
      <c r="CK5" s="2">
        <f t="shared" ref="CK5" si="183">EOMONTH(CK4,0)</f>
        <v>46812</v>
      </c>
      <c r="CL5" s="2">
        <f t="shared" ref="CL5" si="184">EOMONTH(CL4,0)</f>
        <v>46843</v>
      </c>
      <c r="CM5" s="2">
        <f t="shared" ref="CM5" si="185">EOMONTH(CM4,0)</f>
        <v>46873</v>
      </c>
      <c r="CN5" s="2">
        <f t="shared" ref="CN5" si="186">EOMONTH(CN4,0)</f>
        <v>46904</v>
      </c>
      <c r="CO5" s="2">
        <f t="shared" ref="CO5" si="187">EOMONTH(CO4,0)</f>
        <v>46934</v>
      </c>
      <c r="CP5" s="2">
        <f t="shared" ref="CP5" si="188">EOMONTH(CP4,0)</f>
        <v>46965</v>
      </c>
      <c r="CQ5" s="2">
        <f t="shared" ref="CQ5" si="189">EOMONTH(CQ4,0)</f>
        <v>46996</v>
      </c>
      <c r="CR5" s="2">
        <f t="shared" ref="CR5" si="190">EOMONTH(CR4,0)</f>
        <v>47026</v>
      </c>
      <c r="CS5" s="2">
        <f t="shared" ref="CS5" si="191">EOMONTH(CS4,0)</f>
        <v>47057</v>
      </c>
      <c r="CT5" s="2">
        <f t="shared" ref="CT5" si="192">EOMONTH(CT4,0)</f>
        <v>47087</v>
      </c>
      <c r="CU5" s="2">
        <f t="shared" ref="CU5" si="193">EOMONTH(CU4,0)</f>
        <v>47118</v>
      </c>
      <c r="CV5" s="2">
        <f t="shared" ref="CV5" si="194">EOMONTH(CV4,0)</f>
        <v>47149</v>
      </c>
      <c r="CW5" s="2">
        <f t="shared" ref="CW5" si="195">EOMONTH(CW4,0)</f>
        <v>47177</v>
      </c>
      <c r="CX5" s="2">
        <f t="shared" ref="CX5" si="196">EOMONTH(CX4,0)</f>
        <v>47208</v>
      </c>
      <c r="CY5" s="2">
        <f t="shared" ref="CY5" si="197">EOMONTH(CY4,0)</f>
        <v>47238</v>
      </c>
      <c r="CZ5" s="2">
        <f t="shared" ref="CZ5" si="198">EOMONTH(CZ4,0)</f>
        <v>47269</v>
      </c>
      <c r="DA5" s="2">
        <f t="shared" ref="DA5" si="199">EOMONTH(DA4,0)</f>
        <v>47299</v>
      </c>
      <c r="DB5" s="2">
        <f t="shared" ref="DB5" si="200">EOMONTH(DB4,0)</f>
        <v>47330</v>
      </c>
      <c r="DC5" s="2">
        <f t="shared" ref="DC5" si="201">EOMONTH(DC4,0)</f>
        <v>47361</v>
      </c>
      <c r="DD5" s="2">
        <f t="shared" ref="DD5" si="202">EOMONTH(DD4,0)</f>
        <v>47391</v>
      </c>
      <c r="DE5" s="2">
        <f t="shared" ref="DE5" si="203">EOMONTH(DE4,0)</f>
        <v>47422</v>
      </c>
      <c r="DF5" s="2">
        <f t="shared" ref="DF5" si="204">EOMONTH(DF4,0)</f>
        <v>47452</v>
      </c>
      <c r="DG5" s="2">
        <f t="shared" ref="DG5" si="205">EOMONTH(DG4,0)</f>
        <v>47483</v>
      </c>
      <c r="DH5" s="2">
        <f t="shared" ref="DH5" si="206">EOMONTH(DH4,0)</f>
        <v>47514</v>
      </c>
      <c r="DI5" s="2">
        <f t="shared" ref="DI5" si="207">EOMONTH(DI4,0)</f>
        <v>47542</v>
      </c>
      <c r="DJ5" s="2">
        <f t="shared" ref="DJ5" si="208">EOMONTH(DJ4,0)</f>
        <v>47573</v>
      </c>
      <c r="DK5" s="2">
        <f t="shared" ref="DK5" si="209">EOMONTH(DK4,0)</f>
        <v>47603</v>
      </c>
      <c r="DL5" s="2">
        <f t="shared" ref="DL5" si="210">EOMONTH(DL4,0)</f>
        <v>47634</v>
      </c>
      <c r="DM5" s="2">
        <f t="shared" ref="DM5" si="211">EOMONTH(DM4,0)</f>
        <v>47664</v>
      </c>
      <c r="DN5" s="2">
        <f t="shared" ref="DN5" si="212">EOMONTH(DN4,0)</f>
        <v>47695</v>
      </c>
      <c r="DO5" s="2">
        <f t="shared" ref="DO5" si="213">EOMONTH(DO4,0)</f>
        <v>47726</v>
      </c>
      <c r="DP5" s="2">
        <f t="shared" ref="DP5" si="214">EOMONTH(DP4,0)</f>
        <v>47756</v>
      </c>
      <c r="DQ5" s="2">
        <f t="shared" ref="DQ5" si="215">EOMONTH(DQ4,0)</f>
        <v>47787</v>
      </c>
      <c r="DR5" s="2">
        <f t="shared" ref="DR5" si="216">EOMONTH(DR4,0)</f>
        <v>47817</v>
      </c>
      <c r="DS5" s="2">
        <f t="shared" ref="DS5" si="217">EOMONTH(DS4,0)</f>
        <v>47848</v>
      </c>
      <c r="DT5" s="2"/>
      <c r="DU5" s="2"/>
    </row>
    <row r="6" spans="1:125" s="3" customFormat="1" ht="12" x14ac:dyDescent="0.3">
      <c r="A6" s="1" t="s">
        <v>4</v>
      </c>
      <c r="B6" s="1"/>
      <c r="C6" s="1">
        <v>0</v>
      </c>
      <c r="D6" s="1">
        <f t="shared" ref="D6:M6" si="218">C6+1</f>
        <v>1</v>
      </c>
      <c r="E6" s="1">
        <f t="shared" si="218"/>
        <v>2</v>
      </c>
      <c r="F6" s="1">
        <f t="shared" si="218"/>
        <v>3</v>
      </c>
      <c r="G6" s="1">
        <f t="shared" si="218"/>
        <v>4</v>
      </c>
      <c r="H6" s="1">
        <f t="shared" si="218"/>
        <v>5</v>
      </c>
      <c r="I6" s="1">
        <f t="shared" si="218"/>
        <v>6</v>
      </c>
      <c r="J6" s="1">
        <f t="shared" si="218"/>
        <v>7</v>
      </c>
      <c r="K6" s="1">
        <f t="shared" si="218"/>
        <v>8</v>
      </c>
      <c r="L6" s="1">
        <f t="shared" si="218"/>
        <v>9</v>
      </c>
      <c r="M6" s="1">
        <f t="shared" si="218"/>
        <v>10</v>
      </c>
      <c r="N6" s="1">
        <f t="shared" ref="N6:O6" si="219">M6+1</f>
        <v>11</v>
      </c>
      <c r="O6" s="1">
        <f t="shared" si="219"/>
        <v>12</v>
      </c>
      <c r="P6" s="1">
        <f t="shared" ref="P6:AZ6" si="220">O6+1</f>
        <v>13</v>
      </c>
      <c r="Q6" s="1">
        <f t="shared" si="220"/>
        <v>14</v>
      </c>
      <c r="R6" s="1">
        <f t="shared" si="220"/>
        <v>15</v>
      </c>
      <c r="S6" s="1">
        <f t="shared" si="220"/>
        <v>16</v>
      </c>
      <c r="T6" s="1">
        <f t="shared" si="220"/>
        <v>17</v>
      </c>
      <c r="U6" s="1">
        <f t="shared" si="220"/>
        <v>18</v>
      </c>
      <c r="V6" s="1">
        <f t="shared" si="220"/>
        <v>19</v>
      </c>
      <c r="W6" s="1">
        <f t="shared" si="220"/>
        <v>20</v>
      </c>
      <c r="X6" s="1">
        <f t="shared" si="220"/>
        <v>21</v>
      </c>
      <c r="Y6" s="1">
        <f t="shared" si="220"/>
        <v>22</v>
      </c>
      <c r="Z6" s="1">
        <f t="shared" si="220"/>
        <v>23</v>
      </c>
      <c r="AA6" s="1">
        <f t="shared" si="220"/>
        <v>24</v>
      </c>
      <c r="AB6" s="1">
        <f t="shared" si="220"/>
        <v>25</v>
      </c>
      <c r="AC6" s="1">
        <f t="shared" si="220"/>
        <v>26</v>
      </c>
      <c r="AD6" s="1">
        <f t="shared" si="220"/>
        <v>27</v>
      </c>
      <c r="AE6" s="1">
        <f t="shared" si="220"/>
        <v>28</v>
      </c>
      <c r="AF6" s="1">
        <f t="shared" si="220"/>
        <v>29</v>
      </c>
      <c r="AG6" s="1">
        <f t="shared" si="220"/>
        <v>30</v>
      </c>
      <c r="AH6" s="1">
        <f t="shared" si="220"/>
        <v>31</v>
      </c>
      <c r="AI6" s="1">
        <f t="shared" si="220"/>
        <v>32</v>
      </c>
      <c r="AJ6" s="1">
        <f t="shared" si="220"/>
        <v>33</v>
      </c>
      <c r="AK6" s="1">
        <f t="shared" si="220"/>
        <v>34</v>
      </c>
      <c r="AL6" s="1">
        <f t="shared" si="220"/>
        <v>35</v>
      </c>
      <c r="AM6" s="1">
        <f t="shared" si="220"/>
        <v>36</v>
      </c>
      <c r="AN6" s="1">
        <f t="shared" si="220"/>
        <v>37</v>
      </c>
      <c r="AO6" s="1">
        <f t="shared" si="220"/>
        <v>38</v>
      </c>
      <c r="AP6" s="1">
        <f t="shared" si="220"/>
        <v>39</v>
      </c>
      <c r="AQ6" s="1">
        <f t="shared" si="220"/>
        <v>40</v>
      </c>
      <c r="AR6" s="1">
        <f t="shared" si="220"/>
        <v>41</v>
      </c>
      <c r="AS6" s="1">
        <f t="shared" si="220"/>
        <v>42</v>
      </c>
      <c r="AT6" s="1">
        <f t="shared" si="220"/>
        <v>43</v>
      </c>
      <c r="AU6" s="1">
        <f t="shared" si="220"/>
        <v>44</v>
      </c>
      <c r="AV6" s="1">
        <f t="shared" si="220"/>
        <v>45</v>
      </c>
      <c r="AW6" s="1">
        <f t="shared" si="220"/>
        <v>46</v>
      </c>
      <c r="AX6" s="1">
        <f t="shared" si="220"/>
        <v>47</v>
      </c>
      <c r="AY6" s="1">
        <f t="shared" si="220"/>
        <v>48</v>
      </c>
      <c r="AZ6" s="1">
        <f t="shared" si="220"/>
        <v>49</v>
      </c>
      <c r="BA6" s="1">
        <f t="shared" ref="BA6:CB6" si="221">AZ6+1</f>
        <v>50</v>
      </c>
      <c r="BB6" s="1">
        <f t="shared" si="221"/>
        <v>51</v>
      </c>
      <c r="BC6" s="1">
        <f t="shared" si="221"/>
        <v>52</v>
      </c>
      <c r="BD6" s="1">
        <f t="shared" si="221"/>
        <v>53</v>
      </c>
      <c r="BE6" s="1">
        <f t="shared" si="221"/>
        <v>54</v>
      </c>
      <c r="BF6" s="1">
        <f t="shared" si="221"/>
        <v>55</v>
      </c>
      <c r="BG6" s="1">
        <f t="shared" si="221"/>
        <v>56</v>
      </c>
      <c r="BH6" s="1">
        <f t="shared" si="221"/>
        <v>57</v>
      </c>
      <c r="BI6" s="1">
        <f t="shared" si="221"/>
        <v>58</v>
      </c>
      <c r="BJ6" s="1">
        <f t="shared" si="221"/>
        <v>59</v>
      </c>
      <c r="BK6" s="1">
        <f t="shared" si="221"/>
        <v>60</v>
      </c>
      <c r="BL6" s="1">
        <f t="shared" si="221"/>
        <v>61</v>
      </c>
      <c r="BM6" s="1">
        <f t="shared" si="221"/>
        <v>62</v>
      </c>
      <c r="BN6" s="1">
        <f t="shared" si="221"/>
        <v>63</v>
      </c>
      <c r="BO6" s="1">
        <f t="shared" si="221"/>
        <v>64</v>
      </c>
      <c r="BP6" s="1">
        <f t="shared" si="221"/>
        <v>65</v>
      </c>
      <c r="BQ6" s="1">
        <f t="shared" si="221"/>
        <v>66</v>
      </c>
      <c r="BR6" s="1">
        <f t="shared" si="221"/>
        <v>67</v>
      </c>
      <c r="BS6" s="1">
        <f t="shared" si="221"/>
        <v>68</v>
      </c>
      <c r="BT6" s="1">
        <f t="shared" si="221"/>
        <v>69</v>
      </c>
      <c r="BU6" s="1">
        <f t="shared" si="221"/>
        <v>70</v>
      </c>
      <c r="BV6" s="1">
        <f t="shared" si="221"/>
        <v>71</v>
      </c>
      <c r="BW6" s="1">
        <f t="shared" si="221"/>
        <v>72</v>
      </c>
      <c r="BX6" s="1">
        <f t="shared" si="221"/>
        <v>73</v>
      </c>
      <c r="BY6" s="1">
        <f t="shared" si="221"/>
        <v>74</v>
      </c>
      <c r="BZ6" s="1">
        <f t="shared" si="221"/>
        <v>75</v>
      </c>
      <c r="CA6" s="1">
        <f t="shared" si="221"/>
        <v>76</v>
      </c>
      <c r="CB6" s="1">
        <f t="shared" si="221"/>
        <v>77</v>
      </c>
      <c r="CC6" s="1">
        <f t="shared" ref="CC6:DA6" si="222">CB6+1</f>
        <v>78</v>
      </c>
      <c r="CD6" s="1">
        <f t="shared" si="222"/>
        <v>79</v>
      </c>
      <c r="CE6" s="1">
        <f t="shared" si="222"/>
        <v>80</v>
      </c>
      <c r="CF6" s="1">
        <f t="shared" si="222"/>
        <v>81</v>
      </c>
      <c r="CG6" s="1">
        <f t="shared" si="222"/>
        <v>82</v>
      </c>
      <c r="CH6" s="1">
        <f t="shared" si="222"/>
        <v>83</v>
      </c>
      <c r="CI6" s="1">
        <f t="shared" si="222"/>
        <v>84</v>
      </c>
      <c r="CJ6" s="1">
        <f t="shared" si="222"/>
        <v>85</v>
      </c>
      <c r="CK6" s="1">
        <f t="shared" si="222"/>
        <v>86</v>
      </c>
      <c r="CL6" s="1">
        <f t="shared" si="222"/>
        <v>87</v>
      </c>
      <c r="CM6" s="1">
        <f t="shared" si="222"/>
        <v>88</v>
      </c>
      <c r="CN6" s="1">
        <f t="shared" si="222"/>
        <v>89</v>
      </c>
      <c r="CO6" s="1">
        <f t="shared" si="222"/>
        <v>90</v>
      </c>
      <c r="CP6" s="1">
        <f t="shared" si="222"/>
        <v>91</v>
      </c>
      <c r="CQ6" s="1">
        <f t="shared" si="222"/>
        <v>92</v>
      </c>
      <c r="CR6" s="1">
        <f t="shared" si="222"/>
        <v>93</v>
      </c>
      <c r="CS6" s="1">
        <f t="shared" si="222"/>
        <v>94</v>
      </c>
      <c r="CT6" s="1">
        <f t="shared" si="222"/>
        <v>95</v>
      </c>
      <c r="CU6" s="1">
        <f t="shared" si="222"/>
        <v>96</v>
      </c>
      <c r="CV6" s="1">
        <f t="shared" si="222"/>
        <v>97</v>
      </c>
      <c r="CW6" s="1">
        <f t="shared" si="222"/>
        <v>98</v>
      </c>
      <c r="CX6" s="1">
        <f t="shared" si="222"/>
        <v>99</v>
      </c>
      <c r="CY6" s="1">
        <f t="shared" si="222"/>
        <v>100</v>
      </c>
      <c r="CZ6" s="1">
        <f t="shared" si="222"/>
        <v>101</v>
      </c>
      <c r="DA6" s="1">
        <f t="shared" si="222"/>
        <v>102</v>
      </c>
      <c r="DB6" s="1">
        <f t="shared" ref="DB6:DS6" si="223">DA6+1</f>
        <v>103</v>
      </c>
      <c r="DC6" s="1">
        <f t="shared" si="223"/>
        <v>104</v>
      </c>
      <c r="DD6" s="1">
        <f t="shared" si="223"/>
        <v>105</v>
      </c>
      <c r="DE6" s="1">
        <f t="shared" si="223"/>
        <v>106</v>
      </c>
      <c r="DF6" s="1">
        <f t="shared" si="223"/>
        <v>107</v>
      </c>
      <c r="DG6" s="1">
        <f t="shared" si="223"/>
        <v>108</v>
      </c>
      <c r="DH6" s="1">
        <f t="shared" si="223"/>
        <v>109</v>
      </c>
      <c r="DI6" s="1">
        <f t="shared" si="223"/>
        <v>110</v>
      </c>
      <c r="DJ6" s="1">
        <f t="shared" si="223"/>
        <v>111</v>
      </c>
      <c r="DK6" s="1">
        <f t="shared" si="223"/>
        <v>112</v>
      </c>
      <c r="DL6" s="1">
        <f t="shared" si="223"/>
        <v>113</v>
      </c>
      <c r="DM6" s="1">
        <f t="shared" si="223"/>
        <v>114</v>
      </c>
      <c r="DN6" s="1">
        <f t="shared" si="223"/>
        <v>115</v>
      </c>
      <c r="DO6" s="1">
        <f t="shared" si="223"/>
        <v>116</v>
      </c>
      <c r="DP6" s="1">
        <f t="shared" si="223"/>
        <v>117</v>
      </c>
      <c r="DQ6" s="1">
        <f t="shared" si="223"/>
        <v>118</v>
      </c>
      <c r="DR6" s="1">
        <f t="shared" si="223"/>
        <v>119</v>
      </c>
      <c r="DS6" s="1">
        <f t="shared" si="223"/>
        <v>120</v>
      </c>
      <c r="DT6" s="1"/>
      <c r="DU6" s="1"/>
    </row>
    <row r="7" spans="1:125" x14ac:dyDescent="0.35">
      <c r="A7" s="51"/>
      <c r="B7" s="51" t="s">
        <v>137</v>
      </c>
    </row>
    <row r="8" spans="1:125" x14ac:dyDescent="0.35">
      <c r="A8" s="49"/>
      <c r="B8" s="55" t="s">
        <v>67</v>
      </c>
      <c r="C8" s="48">
        <f t="shared" ref="C8:AH8" si="224">IF(Month=0,-Cost_of_Land,0)</f>
        <v>-50000</v>
      </c>
      <c r="D8" s="48">
        <f t="shared" si="224"/>
        <v>0</v>
      </c>
      <c r="E8" s="48">
        <f t="shared" si="224"/>
        <v>0</v>
      </c>
      <c r="F8" s="48">
        <f t="shared" si="224"/>
        <v>0</v>
      </c>
      <c r="G8" s="48">
        <f t="shared" si="224"/>
        <v>0</v>
      </c>
      <c r="H8" s="48">
        <f t="shared" si="224"/>
        <v>0</v>
      </c>
      <c r="I8" s="48">
        <f t="shared" si="224"/>
        <v>0</v>
      </c>
      <c r="J8" s="48">
        <f t="shared" si="224"/>
        <v>0</v>
      </c>
      <c r="K8" s="48">
        <f t="shared" si="224"/>
        <v>0</v>
      </c>
      <c r="L8" s="48">
        <f t="shared" si="224"/>
        <v>0</v>
      </c>
      <c r="M8" s="48">
        <f t="shared" si="224"/>
        <v>0</v>
      </c>
      <c r="N8" s="48">
        <f t="shared" si="224"/>
        <v>0</v>
      </c>
      <c r="O8" s="48">
        <f t="shared" si="224"/>
        <v>0</v>
      </c>
      <c r="P8" s="48">
        <f t="shared" si="224"/>
        <v>0</v>
      </c>
      <c r="Q8" s="48">
        <f t="shared" si="224"/>
        <v>0</v>
      </c>
      <c r="R8" s="48">
        <f t="shared" si="224"/>
        <v>0</v>
      </c>
      <c r="S8" s="48">
        <f t="shared" si="224"/>
        <v>0</v>
      </c>
      <c r="T8" s="48">
        <f t="shared" si="224"/>
        <v>0</v>
      </c>
      <c r="U8" s="48">
        <f t="shared" si="224"/>
        <v>0</v>
      </c>
      <c r="V8" s="48">
        <f t="shared" si="224"/>
        <v>0</v>
      </c>
      <c r="W8" s="48">
        <f t="shared" si="224"/>
        <v>0</v>
      </c>
      <c r="X8" s="48">
        <f t="shared" si="224"/>
        <v>0</v>
      </c>
      <c r="Y8" s="48">
        <f t="shared" si="224"/>
        <v>0</v>
      </c>
      <c r="Z8" s="48">
        <f t="shared" si="224"/>
        <v>0</v>
      </c>
      <c r="AA8" s="48">
        <f t="shared" si="224"/>
        <v>0</v>
      </c>
      <c r="AB8" s="48">
        <f t="shared" si="224"/>
        <v>0</v>
      </c>
      <c r="AC8" s="48">
        <f t="shared" si="224"/>
        <v>0</v>
      </c>
      <c r="AD8" s="48">
        <f t="shared" si="224"/>
        <v>0</v>
      </c>
      <c r="AE8" s="48">
        <f t="shared" si="224"/>
        <v>0</v>
      </c>
      <c r="AF8" s="48">
        <f t="shared" si="224"/>
        <v>0</v>
      </c>
      <c r="AG8" s="48">
        <f t="shared" si="224"/>
        <v>0</v>
      </c>
      <c r="AH8" s="48">
        <f t="shared" si="224"/>
        <v>0</v>
      </c>
      <c r="AI8" s="48">
        <f t="shared" ref="AI8:BN8" si="225">IF(Month=0,-Cost_of_Land,0)</f>
        <v>0</v>
      </c>
      <c r="AJ8" s="48">
        <f t="shared" si="225"/>
        <v>0</v>
      </c>
      <c r="AK8" s="48">
        <f t="shared" si="225"/>
        <v>0</v>
      </c>
      <c r="AL8" s="48">
        <f t="shared" si="225"/>
        <v>0</v>
      </c>
      <c r="AM8" s="48">
        <f t="shared" si="225"/>
        <v>0</v>
      </c>
      <c r="AN8" s="48">
        <f t="shared" si="225"/>
        <v>0</v>
      </c>
      <c r="AO8" s="48">
        <f t="shared" si="225"/>
        <v>0</v>
      </c>
      <c r="AP8" s="48">
        <f t="shared" si="225"/>
        <v>0</v>
      </c>
      <c r="AQ8" s="48">
        <f t="shared" si="225"/>
        <v>0</v>
      </c>
      <c r="AR8" s="48">
        <f t="shared" si="225"/>
        <v>0</v>
      </c>
      <c r="AS8" s="48">
        <f t="shared" si="225"/>
        <v>0</v>
      </c>
      <c r="AT8" s="48">
        <f t="shared" si="225"/>
        <v>0</v>
      </c>
      <c r="AU8" s="48">
        <f t="shared" si="225"/>
        <v>0</v>
      </c>
      <c r="AV8" s="48">
        <f t="shared" si="225"/>
        <v>0</v>
      </c>
      <c r="AW8" s="48">
        <f t="shared" si="225"/>
        <v>0</v>
      </c>
      <c r="AX8" s="48">
        <f t="shared" si="225"/>
        <v>0</v>
      </c>
      <c r="AY8" s="48">
        <f t="shared" si="225"/>
        <v>0</v>
      </c>
      <c r="AZ8" s="48">
        <f t="shared" si="225"/>
        <v>0</v>
      </c>
      <c r="BA8" s="48">
        <f t="shared" si="225"/>
        <v>0</v>
      </c>
      <c r="BB8" s="48">
        <f t="shared" si="225"/>
        <v>0</v>
      </c>
      <c r="BC8" s="48">
        <f t="shared" si="225"/>
        <v>0</v>
      </c>
      <c r="BD8" s="48">
        <f t="shared" si="225"/>
        <v>0</v>
      </c>
      <c r="BE8" s="48">
        <f t="shared" si="225"/>
        <v>0</v>
      </c>
      <c r="BF8" s="48">
        <f t="shared" si="225"/>
        <v>0</v>
      </c>
      <c r="BG8" s="48">
        <f t="shared" si="225"/>
        <v>0</v>
      </c>
      <c r="BH8" s="48">
        <f t="shared" si="225"/>
        <v>0</v>
      </c>
      <c r="BI8" s="48">
        <f t="shared" si="225"/>
        <v>0</v>
      </c>
      <c r="BJ8" s="48">
        <f t="shared" si="225"/>
        <v>0</v>
      </c>
      <c r="BK8" s="48">
        <f t="shared" si="225"/>
        <v>0</v>
      </c>
      <c r="BL8" s="48">
        <f t="shared" si="225"/>
        <v>0</v>
      </c>
      <c r="BM8" s="48">
        <f t="shared" si="225"/>
        <v>0</v>
      </c>
      <c r="BN8" s="48">
        <f t="shared" si="225"/>
        <v>0</v>
      </c>
      <c r="BO8" s="48">
        <f t="shared" ref="BO8:CT8" si="226">IF(Month=0,-Cost_of_Land,0)</f>
        <v>0</v>
      </c>
      <c r="BP8" s="48">
        <f t="shared" si="226"/>
        <v>0</v>
      </c>
      <c r="BQ8" s="48">
        <f t="shared" si="226"/>
        <v>0</v>
      </c>
      <c r="BR8" s="48">
        <f t="shared" si="226"/>
        <v>0</v>
      </c>
      <c r="BS8" s="48">
        <f t="shared" si="226"/>
        <v>0</v>
      </c>
      <c r="BT8" s="48">
        <f t="shared" si="226"/>
        <v>0</v>
      </c>
      <c r="BU8" s="48">
        <f t="shared" si="226"/>
        <v>0</v>
      </c>
      <c r="BV8" s="48">
        <f t="shared" si="226"/>
        <v>0</v>
      </c>
      <c r="BW8" s="48">
        <f t="shared" si="226"/>
        <v>0</v>
      </c>
      <c r="BX8" s="48">
        <f t="shared" si="226"/>
        <v>0</v>
      </c>
      <c r="BY8" s="48">
        <f t="shared" si="226"/>
        <v>0</v>
      </c>
      <c r="BZ8" s="48">
        <f t="shared" si="226"/>
        <v>0</v>
      </c>
      <c r="CA8" s="48">
        <f t="shared" si="226"/>
        <v>0</v>
      </c>
      <c r="CB8" s="48">
        <f t="shared" si="226"/>
        <v>0</v>
      </c>
      <c r="CC8" s="48">
        <f t="shared" si="226"/>
        <v>0</v>
      </c>
      <c r="CD8" s="48">
        <f t="shared" si="226"/>
        <v>0</v>
      </c>
      <c r="CE8" s="48">
        <f t="shared" si="226"/>
        <v>0</v>
      </c>
      <c r="CF8" s="48">
        <f t="shared" si="226"/>
        <v>0</v>
      </c>
      <c r="CG8" s="48">
        <f t="shared" si="226"/>
        <v>0</v>
      </c>
      <c r="CH8" s="48">
        <f t="shared" si="226"/>
        <v>0</v>
      </c>
      <c r="CI8" s="48">
        <f t="shared" si="226"/>
        <v>0</v>
      </c>
      <c r="CJ8" s="48">
        <f t="shared" si="226"/>
        <v>0</v>
      </c>
      <c r="CK8" s="48">
        <f t="shared" si="226"/>
        <v>0</v>
      </c>
      <c r="CL8" s="48">
        <f t="shared" si="226"/>
        <v>0</v>
      </c>
      <c r="CM8" s="48">
        <f t="shared" si="226"/>
        <v>0</v>
      </c>
      <c r="CN8" s="48">
        <f t="shared" si="226"/>
        <v>0</v>
      </c>
      <c r="CO8" s="48">
        <f t="shared" si="226"/>
        <v>0</v>
      </c>
      <c r="CP8" s="48">
        <f t="shared" si="226"/>
        <v>0</v>
      </c>
      <c r="CQ8" s="48">
        <f t="shared" si="226"/>
        <v>0</v>
      </c>
      <c r="CR8" s="48">
        <f t="shared" si="226"/>
        <v>0</v>
      </c>
      <c r="CS8" s="48">
        <f t="shared" si="226"/>
        <v>0</v>
      </c>
      <c r="CT8" s="48">
        <f t="shared" si="226"/>
        <v>0</v>
      </c>
      <c r="CU8" s="48">
        <f t="shared" ref="CU8:DS8" si="227">IF(Month=0,-Cost_of_Land,0)</f>
        <v>0</v>
      </c>
      <c r="CV8" s="48">
        <f t="shared" si="227"/>
        <v>0</v>
      </c>
      <c r="CW8" s="48">
        <f t="shared" si="227"/>
        <v>0</v>
      </c>
      <c r="CX8" s="48">
        <f t="shared" si="227"/>
        <v>0</v>
      </c>
      <c r="CY8" s="48">
        <f t="shared" si="227"/>
        <v>0</v>
      </c>
      <c r="CZ8" s="48">
        <f t="shared" si="227"/>
        <v>0</v>
      </c>
      <c r="DA8" s="48">
        <f t="shared" si="227"/>
        <v>0</v>
      </c>
      <c r="DB8" s="48">
        <f t="shared" si="227"/>
        <v>0</v>
      </c>
      <c r="DC8" s="48">
        <f t="shared" si="227"/>
        <v>0</v>
      </c>
      <c r="DD8" s="48">
        <f t="shared" si="227"/>
        <v>0</v>
      </c>
      <c r="DE8" s="48">
        <f t="shared" si="227"/>
        <v>0</v>
      </c>
      <c r="DF8" s="48">
        <f t="shared" si="227"/>
        <v>0</v>
      </c>
      <c r="DG8" s="48">
        <f t="shared" si="227"/>
        <v>0</v>
      </c>
      <c r="DH8" s="48">
        <f t="shared" si="227"/>
        <v>0</v>
      </c>
      <c r="DI8" s="48">
        <f t="shared" si="227"/>
        <v>0</v>
      </c>
      <c r="DJ8" s="48">
        <f t="shared" si="227"/>
        <v>0</v>
      </c>
      <c r="DK8" s="48">
        <f t="shared" si="227"/>
        <v>0</v>
      </c>
      <c r="DL8" s="48">
        <f t="shared" si="227"/>
        <v>0</v>
      </c>
      <c r="DM8" s="48">
        <f t="shared" si="227"/>
        <v>0</v>
      </c>
      <c r="DN8" s="48">
        <f t="shared" si="227"/>
        <v>0</v>
      </c>
      <c r="DO8" s="48">
        <f t="shared" si="227"/>
        <v>0</v>
      </c>
      <c r="DP8" s="48">
        <f t="shared" si="227"/>
        <v>0</v>
      </c>
      <c r="DQ8" s="48">
        <f t="shared" si="227"/>
        <v>0</v>
      </c>
      <c r="DR8" s="48">
        <f t="shared" si="227"/>
        <v>0</v>
      </c>
      <c r="DS8" s="48">
        <f t="shared" si="227"/>
        <v>0</v>
      </c>
    </row>
    <row r="9" spans="1:125" x14ac:dyDescent="0.35">
      <c r="A9" s="49"/>
      <c r="B9" s="55" t="s">
        <v>69</v>
      </c>
      <c r="C9" s="48">
        <f t="shared" ref="C9:AH9" si="228">IF(AND(Month&gt;0,Month&lt;=Construction_Duration),
-Construction_Cost/Construction_Duration,0)</f>
        <v>0</v>
      </c>
      <c r="D9" s="48">
        <f t="shared" si="228"/>
        <v>-30000</v>
      </c>
      <c r="E9" s="48">
        <f t="shared" si="228"/>
        <v>-30000</v>
      </c>
      <c r="F9" s="48">
        <f t="shared" si="228"/>
        <v>-30000</v>
      </c>
      <c r="G9" s="48">
        <f t="shared" si="228"/>
        <v>-30000</v>
      </c>
      <c r="H9" s="48">
        <f t="shared" si="228"/>
        <v>-30000</v>
      </c>
      <c r="I9" s="48">
        <f t="shared" si="228"/>
        <v>-30000</v>
      </c>
      <c r="J9" s="48">
        <f t="shared" si="228"/>
        <v>-30000</v>
      </c>
      <c r="K9" s="48">
        <f t="shared" si="228"/>
        <v>-30000</v>
      </c>
      <c r="L9" s="48">
        <f t="shared" si="228"/>
        <v>-30000</v>
      </c>
      <c r="M9" s="48">
        <f t="shared" si="228"/>
        <v>-30000</v>
      </c>
      <c r="N9" s="48">
        <f t="shared" si="228"/>
        <v>-30000</v>
      </c>
      <c r="O9" s="48">
        <f t="shared" si="228"/>
        <v>-30000</v>
      </c>
      <c r="P9" s="48">
        <f t="shared" si="228"/>
        <v>0</v>
      </c>
      <c r="Q9" s="48">
        <f t="shared" si="228"/>
        <v>0</v>
      </c>
      <c r="R9" s="48">
        <f t="shared" si="228"/>
        <v>0</v>
      </c>
      <c r="S9" s="48">
        <f t="shared" si="228"/>
        <v>0</v>
      </c>
      <c r="T9" s="48">
        <f t="shared" si="228"/>
        <v>0</v>
      </c>
      <c r="U9" s="48">
        <f t="shared" si="228"/>
        <v>0</v>
      </c>
      <c r="V9" s="48">
        <f t="shared" si="228"/>
        <v>0</v>
      </c>
      <c r="W9" s="48">
        <f t="shared" si="228"/>
        <v>0</v>
      </c>
      <c r="X9" s="48">
        <f t="shared" si="228"/>
        <v>0</v>
      </c>
      <c r="Y9" s="48">
        <f t="shared" si="228"/>
        <v>0</v>
      </c>
      <c r="Z9" s="48">
        <f t="shared" si="228"/>
        <v>0</v>
      </c>
      <c r="AA9" s="48">
        <f t="shared" si="228"/>
        <v>0</v>
      </c>
      <c r="AB9" s="48">
        <f t="shared" si="228"/>
        <v>0</v>
      </c>
      <c r="AC9" s="48">
        <f t="shared" si="228"/>
        <v>0</v>
      </c>
      <c r="AD9" s="48">
        <f t="shared" si="228"/>
        <v>0</v>
      </c>
      <c r="AE9" s="48">
        <f t="shared" si="228"/>
        <v>0</v>
      </c>
      <c r="AF9" s="48">
        <f t="shared" si="228"/>
        <v>0</v>
      </c>
      <c r="AG9" s="48">
        <f t="shared" si="228"/>
        <v>0</v>
      </c>
      <c r="AH9" s="48">
        <f t="shared" si="228"/>
        <v>0</v>
      </c>
      <c r="AI9" s="48">
        <f t="shared" ref="AI9:BN9" si="229">IF(AND(Month&gt;0,Month&lt;=Construction_Duration),
-Construction_Cost/Construction_Duration,0)</f>
        <v>0</v>
      </c>
      <c r="AJ9" s="48">
        <f t="shared" si="229"/>
        <v>0</v>
      </c>
      <c r="AK9" s="48">
        <f t="shared" si="229"/>
        <v>0</v>
      </c>
      <c r="AL9" s="48">
        <f t="shared" si="229"/>
        <v>0</v>
      </c>
      <c r="AM9" s="48">
        <f t="shared" si="229"/>
        <v>0</v>
      </c>
      <c r="AN9" s="48">
        <f t="shared" si="229"/>
        <v>0</v>
      </c>
      <c r="AO9" s="48">
        <f t="shared" si="229"/>
        <v>0</v>
      </c>
      <c r="AP9" s="48">
        <f t="shared" si="229"/>
        <v>0</v>
      </c>
      <c r="AQ9" s="48">
        <f t="shared" si="229"/>
        <v>0</v>
      </c>
      <c r="AR9" s="48">
        <f t="shared" si="229"/>
        <v>0</v>
      </c>
      <c r="AS9" s="48">
        <f t="shared" si="229"/>
        <v>0</v>
      </c>
      <c r="AT9" s="48">
        <f t="shared" si="229"/>
        <v>0</v>
      </c>
      <c r="AU9" s="48">
        <f t="shared" si="229"/>
        <v>0</v>
      </c>
      <c r="AV9" s="48">
        <f t="shared" si="229"/>
        <v>0</v>
      </c>
      <c r="AW9" s="48">
        <f t="shared" si="229"/>
        <v>0</v>
      </c>
      <c r="AX9" s="48">
        <f t="shared" si="229"/>
        <v>0</v>
      </c>
      <c r="AY9" s="48">
        <f t="shared" si="229"/>
        <v>0</v>
      </c>
      <c r="AZ9" s="48">
        <f t="shared" si="229"/>
        <v>0</v>
      </c>
      <c r="BA9" s="48">
        <f t="shared" si="229"/>
        <v>0</v>
      </c>
      <c r="BB9" s="48">
        <f t="shared" si="229"/>
        <v>0</v>
      </c>
      <c r="BC9" s="48">
        <f t="shared" si="229"/>
        <v>0</v>
      </c>
      <c r="BD9" s="48">
        <f t="shared" si="229"/>
        <v>0</v>
      </c>
      <c r="BE9" s="48">
        <f t="shared" si="229"/>
        <v>0</v>
      </c>
      <c r="BF9" s="48">
        <f t="shared" si="229"/>
        <v>0</v>
      </c>
      <c r="BG9" s="48">
        <f t="shared" si="229"/>
        <v>0</v>
      </c>
      <c r="BH9" s="48">
        <f t="shared" si="229"/>
        <v>0</v>
      </c>
      <c r="BI9" s="48">
        <f t="shared" si="229"/>
        <v>0</v>
      </c>
      <c r="BJ9" s="48">
        <f t="shared" si="229"/>
        <v>0</v>
      </c>
      <c r="BK9" s="48">
        <f t="shared" si="229"/>
        <v>0</v>
      </c>
      <c r="BL9" s="48">
        <f t="shared" si="229"/>
        <v>0</v>
      </c>
      <c r="BM9" s="48">
        <f t="shared" si="229"/>
        <v>0</v>
      </c>
      <c r="BN9" s="48">
        <f t="shared" si="229"/>
        <v>0</v>
      </c>
      <c r="BO9" s="48">
        <f t="shared" ref="BO9:CT9" si="230">IF(AND(Month&gt;0,Month&lt;=Construction_Duration),
-Construction_Cost/Construction_Duration,0)</f>
        <v>0</v>
      </c>
      <c r="BP9" s="48">
        <f t="shared" si="230"/>
        <v>0</v>
      </c>
      <c r="BQ9" s="48">
        <f t="shared" si="230"/>
        <v>0</v>
      </c>
      <c r="BR9" s="48">
        <f t="shared" si="230"/>
        <v>0</v>
      </c>
      <c r="BS9" s="48">
        <f t="shared" si="230"/>
        <v>0</v>
      </c>
      <c r="BT9" s="48">
        <f t="shared" si="230"/>
        <v>0</v>
      </c>
      <c r="BU9" s="48">
        <f t="shared" si="230"/>
        <v>0</v>
      </c>
      <c r="BV9" s="48">
        <f t="shared" si="230"/>
        <v>0</v>
      </c>
      <c r="BW9" s="48">
        <f t="shared" si="230"/>
        <v>0</v>
      </c>
      <c r="BX9" s="48">
        <f t="shared" si="230"/>
        <v>0</v>
      </c>
      <c r="BY9" s="48">
        <f t="shared" si="230"/>
        <v>0</v>
      </c>
      <c r="BZ9" s="48">
        <f t="shared" si="230"/>
        <v>0</v>
      </c>
      <c r="CA9" s="48">
        <f t="shared" si="230"/>
        <v>0</v>
      </c>
      <c r="CB9" s="48">
        <f t="shared" si="230"/>
        <v>0</v>
      </c>
      <c r="CC9" s="48">
        <f t="shared" si="230"/>
        <v>0</v>
      </c>
      <c r="CD9" s="48">
        <f t="shared" si="230"/>
        <v>0</v>
      </c>
      <c r="CE9" s="48">
        <f t="shared" si="230"/>
        <v>0</v>
      </c>
      <c r="CF9" s="48">
        <f t="shared" si="230"/>
        <v>0</v>
      </c>
      <c r="CG9" s="48">
        <f t="shared" si="230"/>
        <v>0</v>
      </c>
      <c r="CH9" s="48">
        <f t="shared" si="230"/>
        <v>0</v>
      </c>
      <c r="CI9" s="48">
        <f t="shared" si="230"/>
        <v>0</v>
      </c>
      <c r="CJ9" s="48">
        <f t="shared" si="230"/>
        <v>0</v>
      </c>
      <c r="CK9" s="48">
        <f t="shared" si="230"/>
        <v>0</v>
      </c>
      <c r="CL9" s="48">
        <f t="shared" si="230"/>
        <v>0</v>
      </c>
      <c r="CM9" s="48">
        <f t="shared" si="230"/>
        <v>0</v>
      </c>
      <c r="CN9" s="48">
        <f t="shared" si="230"/>
        <v>0</v>
      </c>
      <c r="CO9" s="48">
        <f t="shared" si="230"/>
        <v>0</v>
      </c>
      <c r="CP9" s="48">
        <f t="shared" si="230"/>
        <v>0</v>
      </c>
      <c r="CQ9" s="48">
        <f t="shared" si="230"/>
        <v>0</v>
      </c>
      <c r="CR9" s="48">
        <f t="shared" si="230"/>
        <v>0</v>
      </c>
      <c r="CS9" s="48">
        <f t="shared" si="230"/>
        <v>0</v>
      </c>
      <c r="CT9" s="48">
        <f t="shared" si="230"/>
        <v>0</v>
      </c>
      <c r="CU9" s="48">
        <f t="shared" ref="CU9:DS9" si="231">IF(AND(Month&gt;0,Month&lt;=Construction_Duration),
-Construction_Cost/Construction_Duration,0)</f>
        <v>0</v>
      </c>
      <c r="CV9" s="48">
        <f t="shared" si="231"/>
        <v>0</v>
      </c>
      <c r="CW9" s="48">
        <f t="shared" si="231"/>
        <v>0</v>
      </c>
      <c r="CX9" s="48">
        <f t="shared" si="231"/>
        <v>0</v>
      </c>
      <c r="CY9" s="48">
        <f t="shared" si="231"/>
        <v>0</v>
      </c>
      <c r="CZ9" s="48">
        <f t="shared" si="231"/>
        <v>0</v>
      </c>
      <c r="DA9" s="48">
        <f t="shared" si="231"/>
        <v>0</v>
      </c>
      <c r="DB9" s="48">
        <f t="shared" si="231"/>
        <v>0</v>
      </c>
      <c r="DC9" s="48">
        <f t="shared" si="231"/>
        <v>0</v>
      </c>
      <c r="DD9" s="48">
        <f t="shared" si="231"/>
        <v>0</v>
      </c>
      <c r="DE9" s="48">
        <f t="shared" si="231"/>
        <v>0</v>
      </c>
      <c r="DF9" s="48">
        <f t="shared" si="231"/>
        <v>0</v>
      </c>
      <c r="DG9" s="48">
        <f t="shared" si="231"/>
        <v>0</v>
      </c>
      <c r="DH9" s="48">
        <f t="shared" si="231"/>
        <v>0</v>
      </c>
      <c r="DI9" s="48">
        <f t="shared" si="231"/>
        <v>0</v>
      </c>
      <c r="DJ9" s="48">
        <f t="shared" si="231"/>
        <v>0</v>
      </c>
      <c r="DK9" s="48">
        <f t="shared" si="231"/>
        <v>0</v>
      </c>
      <c r="DL9" s="48">
        <f t="shared" si="231"/>
        <v>0</v>
      </c>
      <c r="DM9" s="48">
        <f t="shared" si="231"/>
        <v>0</v>
      </c>
      <c r="DN9" s="48">
        <f t="shared" si="231"/>
        <v>0</v>
      </c>
      <c r="DO9" s="48">
        <f t="shared" si="231"/>
        <v>0</v>
      </c>
      <c r="DP9" s="48">
        <f t="shared" si="231"/>
        <v>0</v>
      </c>
      <c r="DQ9" s="48">
        <f t="shared" si="231"/>
        <v>0</v>
      </c>
      <c r="DR9" s="48">
        <f t="shared" si="231"/>
        <v>0</v>
      </c>
      <c r="DS9" s="48">
        <f t="shared" si="231"/>
        <v>0</v>
      </c>
    </row>
    <row r="10" spans="1:125" x14ac:dyDescent="0.35">
      <c r="A10" s="49"/>
      <c r="B10" s="55" t="s">
        <v>68</v>
      </c>
      <c r="C10" s="48" cm="1">
        <f t="array" ref="C10" xml:space="preserve"> _xlfn.IFS(_xlfn.SINGLE(Period_End)=Installment_Date_1, -Equipment_Cost*Installment_Amt_1,
_xlfn.SINGLE(Period_End)=Installment_Date_2, -Equipment_Cost*Installment_Amt_2,
TRUE, 0)</f>
        <v>0</v>
      </c>
      <c r="D10" s="48" cm="1">
        <f t="array" ref="D10" xml:space="preserve"> _xlfn.IFS(_xlfn.SINGLE(Period_End)=Installment_Date_1, -Equipment_Cost*Installment_Amt_1,
_xlfn.SINGLE(Period_End)=Installment_Date_2, -Equipment_Cost*Installment_Amt_2,
TRUE, 0)</f>
        <v>0</v>
      </c>
      <c r="E10" s="48" cm="1">
        <f t="array" ref="E10" xml:space="preserve"> _xlfn.IFS(_xlfn.SINGLE(Period_End)=Installment_Date_1, -Equipment_Cost*Installment_Amt_1,
_xlfn.SINGLE(Period_End)=Installment_Date_2, -Equipment_Cost*Installment_Amt_2,
TRUE, 0)</f>
        <v>0</v>
      </c>
      <c r="F10" s="48" cm="1">
        <f t="array" ref="F10" xml:space="preserve"> _xlfn.IFS(_xlfn.SINGLE(Period_End)=Installment_Date_1, -Equipment_Cost*Installment_Amt_1,
_xlfn.SINGLE(Period_End)=Installment_Date_2, -Equipment_Cost*Installment_Amt_2,
TRUE, 0)</f>
        <v>0</v>
      </c>
      <c r="G10" s="48" cm="1">
        <f t="array" ref="G10" xml:space="preserve"> _xlfn.IFS(_xlfn.SINGLE(Period_End)=Installment_Date_1, -Equipment_Cost*Installment_Amt_1,
_xlfn.SINGLE(Period_End)=Installment_Date_2, -Equipment_Cost*Installment_Amt_2,
TRUE, 0)</f>
        <v>0</v>
      </c>
      <c r="H10" s="48" cm="1">
        <f t="array" ref="H10" xml:space="preserve"> _xlfn.IFS(_xlfn.SINGLE(Period_End)=Installment_Date_1, -Equipment_Cost*Installment_Amt_1,
_xlfn.SINGLE(Period_End)=Installment_Date_2, -Equipment_Cost*Installment_Amt_2,
TRUE, 0)</f>
        <v>0</v>
      </c>
      <c r="I10" s="48" cm="1">
        <f t="array" ref="I10" xml:space="preserve"> _xlfn.IFS(_xlfn.SINGLE(Period_End)=Installment_Date_1, -Equipment_Cost*Installment_Amt_1,
_xlfn.SINGLE(Period_End)=Installment_Date_2, -Equipment_Cost*Installment_Amt_2,
TRUE, 0)</f>
        <v>-75000</v>
      </c>
      <c r="J10" s="48" cm="1">
        <f t="array" ref="J10" xml:space="preserve"> _xlfn.IFS(_xlfn.SINGLE(Period_End)=Installment_Date_1, -Equipment_Cost*Installment_Amt_1,
_xlfn.SINGLE(Period_End)=Installment_Date_2, -Equipment_Cost*Installment_Amt_2,
TRUE, 0)</f>
        <v>0</v>
      </c>
      <c r="K10" s="48" cm="1">
        <f t="array" ref="K10" xml:space="preserve"> _xlfn.IFS(_xlfn.SINGLE(Period_End)=Installment_Date_1, -Equipment_Cost*Installment_Amt_1,
_xlfn.SINGLE(Period_End)=Installment_Date_2, -Equipment_Cost*Installment_Amt_2,
TRUE, 0)</f>
        <v>0</v>
      </c>
      <c r="L10" s="48" cm="1">
        <f t="array" ref="L10" xml:space="preserve"> _xlfn.IFS(_xlfn.SINGLE(Period_End)=Installment_Date_1, -Equipment_Cost*Installment_Amt_1,
_xlfn.SINGLE(Period_End)=Installment_Date_2, -Equipment_Cost*Installment_Amt_2,
TRUE, 0)</f>
        <v>0</v>
      </c>
      <c r="M10" s="48" cm="1">
        <f t="array" ref="M10" xml:space="preserve"> _xlfn.IFS(_xlfn.SINGLE(Period_End)=Installment_Date_1, -Equipment_Cost*Installment_Amt_1,
_xlfn.SINGLE(Period_End)=Installment_Date_2, -Equipment_Cost*Installment_Amt_2,
TRUE, 0)</f>
        <v>0</v>
      </c>
      <c r="N10" s="48" cm="1">
        <f t="array" ref="N10" xml:space="preserve"> _xlfn.IFS(_xlfn.SINGLE(Period_End)=Installment_Date_1, -Equipment_Cost*Installment_Amt_1,
_xlfn.SINGLE(Period_End)=Installment_Date_2, -Equipment_Cost*Installment_Amt_2,
TRUE, 0)</f>
        <v>0</v>
      </c>
      <c r="O10" s="48" cm="1">
        <f t="array" ref="O10" xml:space="preserve"> _xlfn.IFS(_xlfn.SINGLE(Period_End)=Installment_Date_1, -Equipment_Cost*Installment_Amt_1,
_xlfn.SINGLE(Period_End)=Installment_Date_2, -Equipment_Cost*Installment_Amt_2,
TRUE, 0)</f>
        <v>-75000</v>
      </c>
      <c r="P10" s="48" cm="1">
        <f t="array" ref="P10" xml:space="preserve"> _xlfn.IFS(_xlfn.SINGLE(Period_End)=Installment_Date_1, -Equipment_Cost*Installment_Amt_1,
_xlfn.SINGLE(Period_End)=Installment_Date_2, -Equipment_Cost*Installment_Amt_2,
TRUE, 0)</f>
        <v>0</v>
      </c>
      <c r="Q10" s="48" cm="1">
        <f t="array" ref="Q10" xml:space="preserve"> _xlfn.IFS(_xlfn.SINGLE(Period_End)=Installment_Date_1, -Equipment_Cost*Installment_Amt_1,
_xlfn.SINGLE(Period_End)=Installment_Date_2, -Equipment_Cost*Installment_Amt_2,
TRUE, 0)</f>
        <v>0</v>
      </c>
      <c r="R10" s="48" cm="1">
        <f t="array" ref="R10" xml:space="preserve"> _xlfn.IFS(_xlfn.SINGLE(Period_End)=Installment_Date_1, -Equipment_Cost*Installment_Amt_1,
_xlfn.SINGLE(Period_End)=Installment_Date_2, -Equipment_Cost*Installment_Amt_2,
TRUE, 0)</f>
        <v>0</v>
      </c>
      <c r="S10" s="48" cm="1">
        <f t="array" ref="S10" xml:space="preserve"> _xlfn.IFS(_xlfn.SINGLE(Period_End)=Installment_Date_1, -Equipment_Cost*Installment_Amt_1,
_xlfn.SINGLE(Period_End)=Installment_Date_2, -Equipment_Cost*Installment_Amt_2,
TRUE, 0)</f>
        <v>0</v>
      </c>
      <c r="T10" s="48" cm="1">
        <f t="array" ref="T10" xml:space="preserve"> _xlfn.IFS(_xlfn.SINGLE(Period_End)=Installment_Date_1, -Equipment_Cost*Installment_Amt_1,
_xlfn.SINGLE(Period_End)=Installment_Date_2, -Equipment_Cost*Installment_Amt_2,
TRUE, 0)</f>
        <v>0</v>
      </c>
      <c r="U10" s="48" cm="1">
        <f t="array" ref="U10" xml:space="preserve"> _xlfn.IFS(_xlfn.SINGLE(Period_End)=Installment_Date_1, -Equipment_Cost*Installment_Amt_1,
_xlfn.SINGLE(Period_End)=Installment_Date_2, -Equipment_Cost*Installment_Amt_2,
TRUE, 0)</f>
        <v>0</v>
      </c>
      <c r="V10" s="48" cm="1">
        <f t="array" ref="V10" xml:space="preserve"> _xlfn.IFS(_xlfn.SINGLE(Period_End)=Installment_Date_1, -Equipment_Cost*Installment_Amt_1,
_xlfn.SINGLE(Period_End)=Installment_Date_2, -Equipment_Cost*Installment_Amt_2,
TRUE, 0)</f>
        <v>0</v>
      </c>
      <c r="W10" s="48" cm="1">
        <f t="array" ref="W10" xml:space="preserve"> _xlfn.IFS(_xlfn.SINGLE(Period_End)=Installment_Date_1, -Equipment_Cost*Installment_Amt_1,
_xlfn.SINGLE(Period_End)=Installment_Date_2, -Equipment_Cost*Installment_Amt_2,
TRUE, 0)</f>
        <v>0</v>
      </c>
      <c r="X10" s="48" cm="1">
        <f t="array" ref="X10" xml:space="preserve"> _xlfn.IFS(_xlfn.SINGLE(Period_End)=Installment_Date_1, -Equipment_Cost*Installment_Amt_1,
_xlfn.SINGLE(Period_End)=Installment_Date_2, -Equipment_Cost*Installment_Amt_2,
TRUE, 0)</f>
        <v>0</v>
      </c>
      <c r="Y10" s="48" cm="1">
        <f t="array" ref="Y10" xml:space="preserve"> _xlfn.IFS(_xlfn.SINGLE(Period_End)=Installment_Date_1, -Equipment_Cost*Installment_Amt_1,
_xlfn.SINGLE(Period_End)=Installment_Date_2, -Equipment_Cost*Installment_Amt_2,
TRUE, 0)</f>
        <v>0</v>
      </c>
      <c r="Z10" s="48" cm="1">
        <f t="array" ref="Z10" xml:space="preserve"> _xlfn.IFS(_xlfn.SINGLE(Period_End)=Installment_Date_1, -Equipment_Cost*Installment_Amt_1,
_xlfn.SINGLE(Period_End)=Installment_Date_2, -Equipment_Cost*Installment_Amt_2,
TRUE, 0)</f>
        <v>0</v>
      </c>
      <c r="AA10" s="48" cm="1">
        <f t="array" ref="AA10" xml:space="preserve"> _xlfn.IFS(_xlfn.SINGLE(Period_End)=Installment_Date_1, -Equipment_Cost*Installment_Amt_1,
_xlfn.SINGLE(Period_End)=Installment_Date_2, -Equipment_Cost*Installment_Amt_2,
TRUE, 0)</f>
        <v>0</v>
      </c>
      <c r="AB10" s="48" cm="1">
        <f t="array" ref="AB10" xml:space="preserve"> _xlfn.IFS(_xlfn.SINGLE(Period_End)=Installment_Date_1, -Equipment_Cost*Installment_Amt_1,
_xlfn.SINGLE(Period_End)=Installment_Date_2, -Equipment_Cost*Installment_Amt_2,
TRUE, 0)</f>
        <v>0</v>
      </c>
      <c r="AC10" s="48" cm="1">
        <f t="array" ref="AC10" xml:space="preserve"> _xlfn.IFS(_xlfn.SINGLE(Period_End)=Installment_Date_1, -Equipment_Cost*Installment_Amt_1,
_xlfn.SINGLE(Period_End)=Installment_Date_2, -Equipment_Cost*Installment_Amt_2,
TRUE, 0)</f>
        <v>0</v>
      </c>
      <c r="AD10" s="48" cm="1">
        <f t="array" ref="AD10" xml:space="preserve"> _xlfn.IFS(_xlfn.SINGLE(Period_End)=Installment_Date_1, -Equipment_Cost*Installment_Amt_1,
_xlfn.SINGLE(Period_End)=Installment_Date_2, -Equipment_Cost*Installment_Amt_2,
TRUE, 0)</f>
        <v>0</v>
      </c>
      <c r="AE10" s="48" cm="1">
        <f t="array" ref="AE10" xml:space="preserve"> _xlfn.IFS(_xlfn.SINGLE(Period_End)=Installment_Date_1, -Equipment_Cost*Installment_Amt_1,
_xlfn.SINGLE(Period_End)=Installment_Date_2, -Equipment_Cost*Installment_Amt_2,
TRUE, 0)</f>
        <v>0</v>
      </c>
      <c r="AF10" s="48" cm="1">
        <f t="array" ref="AF10" xml:space="preserve"> _xlfn.IFS(_xlfn.SINGLE(Period_End)=Installment_Date_1, -Equipment_Cost*Installment_Amt_1,
_xlfn.SINGLE(Period_End)=Installment_Date_2, -Equipment_Cost*Installment_Amt_2,
TRUE, 0)</f>
        <v>0</v>
      </c>
      <c r="AG10" s="48" cm="1">
        <f t="array" ref="AG10" xml:space="preserve"> _xlfn.IFS(_xlfn.SINGLE(Period_End)=Installment_Date_1, -Equipment_Cost*Installment_Amt_1,
_xlfn.SINGLE(Period_End)=Installment_Date_2, -Equipment_Cost*Installment_Amt_2,
TRUE, 0)</f>
        <v>0</v>
      </c>
      <c r="AH10" s="48" cm="1">
        <f t="array" ref="AH10" xml:space="preserve"> _xlfn.IFS(_xlfn.SINGLE(Period_End)=Installment_Date_1, -Equipment_Cost*Installment_Amt_1,
_xlfn.SINGLE(Period_End)=Installment_Date_2, -Equipment_Cost*Installment_Amt_2,
TRUE, 0)</f>
        <v>0</v>
      </c>
      <c r="AI10" s="48" cm="1">
        <f t="array" ref="AI10" xml:space="preserve"> _xlfn.IFS(_xlfn.SINGLE(Period_End)=Installment_Date_1, -Equipment_Cost*Installment_Amt_1,
_xlfn.SINGLE(Period_End)=Installment_Date_2, -Equipment_Cost*Installment_Amt_2,
TRUE, 0)</f>
        <v>0</v>
      </c>
      <c r="AJ10" s="48" cm="1">
        <f t="array" ref="AJ10" xml:space="preserve"> _xlfn.IFS(_xlfn.SINGLE(Period_End)=Installment_Date_1, -Equipment_Cost*Installment_Amt_1,
_xlfn.SINGLE(Period_End)=Installment_Date_2, -Equipment_Cost*Installment_Amt_2,
TRUE, 0)</f>
        <v>0</v>
      </c>
      <c r="AK10" s="48" cm="1">
        <f t="array" ref="AK10" xml:space="preserve"> _xlfn.IFS(_xlfn.SINGLE(Period_End)=Installment_Date_1, -Equipment_Cost*Installment_Amt_1,
_xlfn.SINGLE(Period_End)=Installment_Date_2, -Equipment_Cost*Installment_Amt_2,
TRUE, 0)</f>
        <v>0</v>
      </c>
      <c r="AL10" s="48" cm="1">
        <f t="array" ref="AL10" xml:space="preserve"> _xlfn.IFS(_xlfn.SINGLE(Period_End)=Installment_Date_1, -Equipment_Cost*Installment_Amt_1,
_xlfn.SINGLE(Period_End)=Installment_Date_2, -Equipment_Cost*Installment_Amt_2,
TRUE, 0)</f>
        <v>0</v>
      </c>
      <c r="AM10" s="48" cm="1">
        <f t="array" ref="AM10" xml:space="preserve"> _xlfn.IFS(_xlfn.SINGLE(Period_End)=Installment_Date_1, -Equipment_Cost*Installment_Amt_1,
_xlfn.SINGLE(Period_End)=Installment_Date_2, -Equipment_Cost*Installment_Amt_2,
TRUE, 0)</f>
        <v>0</v>
      </c>
      <c r="AN10" s="48" cm="1">
        <f t="array" ref="AN10" xml:space="preserve"> _xlfn.IFS(_xlfn.SINGLE(Period_End)=Installment_Date_1, -Equipment_Cost*Installment_Amt_1,
_xlfn.SINGLE(Period_End)=Installment_Date_2, -Equipment_Cost*Installment_Amt_2,
TRUE, 0)</f>
        <v>0</v>
      </c>
      <c r="AO10" s="48" cm="1">
        <f t="array" ref="AO10" xml:space="preserve"> _xlfn.IFS(_xlfn.SINGLE(Period_End)=Installment_Date_1, -Equipment_Cost*Installment_Amt_1,
_xlfn.SINGLE(Period_End)=Installment_Date_2, -Equipment_Cost*Installment_Amt_2,
TRUE, 0)</f>
        <v>0</v>
      </c>
      <c r="AP10" s="48" cm="1">
        <f t="array" ref="AP10" xml:space="preserve"> _xlfn.IFS(_xlfn.SINGLE(Period_End)=Installment_Date_1, -Equipment_Cost*Installment_Amt_1,
_xlfn.SINGLE(Period_End)=Installment_Date_2, -Equipment_Cost*Installment_Amt_2,
TRUE, 0)</f>
        <v>0</v>
      </c>
      <c r="AQ10" s="48" cm="1">
        <f t="array" ref="AQ10" xml:space="preserve"> _xlfn.IFS(_xlfn.SINGLE(Period_End)=Installment_Date_1, -Equipment_Cost*Installment_Amt_1,
_xlfn.SINGLE(Period_End)=Installment_Date_2, -Equipment_Cost*Installment_Amt_2,
TRUE, 0)</f>
        <v>0</v>
      </c>
      <c r="AR10" s="48" cm="1">
        <f t="array" ref="AR10" xml:space="preserve"> _xlfn.IFS(_xlfn.SINGLE(Period_End)=Installment_Date_1, -Equipment_Cost*Installment_Amt_1,
_xlfn.SINGLE(Period_End)=Installment_Date_2, -Equipment_Cost*Installment_Amt_2,
TRUE, 0)</f>
        <v>0</v>
      </c>
      <c r="AS10" s="48" cm="1">
        <f t="array" ref="AS10" xml:space="preserve"> _xlfn.IFS(_xlfn.SINGLE(Period_End)=Installment_Date_1, -Equipment_Cost*Installment_Amt_1,
_xlfn.SINGLE(Period_End)=Installment_Date_2, -Equipment_Cost*Installment_Amt_2,
TRUE, 0)</f>
        <v>0</v>
      </c>
      <c r="AT10" s="48" cm="1">
        <f t="array" ref="AT10" xml:space="preserve"> _xlfn.IFS(_xlfn.SINGLE(Period_End)=Installment_Date_1, -Equipment_Cost*Installment_Amt_1,
_xlfn.SINGLE(Period_End)=Installment_Date_2, -Equipment_Cost*Installment_Amt_2,
TRUE, 0)</f>
        <v>0</v>
      </c>
      <c r="AU10" s="48" cm="1">
        <f t="array" ref="AU10" xml:space="preserve"> _xlfn.IFS(_xlfn.SINGLE(Period_End)=Installment_Date_1, -Equipment_Cost*Installment_Amt_1,
_xlfn.SINGLE(Period_End)=Installment_Date_2, -Equipment_Cost*Installment_Amt_2,
TRUE, 0)</f>
        <v>0</v>
      </c>
      <c r="AV10" s="48" cm="1">
        <f t="array" ref="AV10" xml:space="preserve"> _xlfn.IFS(_xlfn.SINGLE(Period_End)=Installment_Date_1, -Equipment_Cost*Installment_Amt_1,
_xlfn.SINGLE(Period_End)=Installment_Date_2, -Equipment_Cost*Installment_Amt_2,
TRUE, 0)</f>
        <v>0</v>
      </c>
      <c r="AW10" s="48" cm="1">
        <f t="array" ref="AW10" xml:space="preserve"> _xlfn.IFS(_xlfn.SINGLE(Period_End)=Installment_Date_1, -Equipment_Cost*Installment_Amt_1,
_xlfn.SINGLE(Period_End)=Installment_Date_2, -Equipment_Cost*Installment_Amt_2,
TRUE, 0)</f>
        <v>0</v>
      </c>
      <c r="AX10" s="48" cm="1">
        <f t="array" ref="AX10" xml:space="preserve"> _xlfn.IFS(_xlfn.SINGLE(Period_End)=Installment_Date_1, -Equipment_Cost*Installment_Amt_1,
_xlfn.SINGLE(Period_End)=Installment_Date_2, -Equipment_Cost*Installment_Amt_2,
TRUE, 0)</f>
        <v>0</v>
      </c>
      <c r="AY10" s="48" cm="1">
        <f t="array" ref="AY10" xml:space="preserve"> _xlfn.IFS(_xlfn.SINGLE(Period_End)=Installment_Date_1, -Equipment_Cost*Installment_Amt_1,
_xlfn.SINGLE(Period_End)=Installment_Date_2, -Equipment_Cost*Installment_Amt_2,
TRUE, 0)</f>
        <v>0</v>
      </c>
      <c r="AZ10" s="48" cm="1">
        <f t="array" ref="AZ10" xml:space="preserve"> _xlfn.IFS(_xlfn.SINGLE(Period_End)=Installment_Date_1, -Equipment_Cost*Installment_Amt_1,
_xlfn.SINGLE(Period_End)=Installment_Date_2, -Equipment_Cost*Installment_Amt_2,
TRUE, 0)</f>
        <v>0</v>
      </c>
      <c r="BA10" s="48" cm="1">
        <f t="array" ref="BA10" xml:space="preserve"> _xlfn.IFS(_xlfn.SINGLE(Period_End)=Installment_Date_1, -Equipment_Cost*Installment_Amt_1,
_xlfn.SINGLE(Period_End)=Installment_Date_2, -Equipment_Cost*Installment_Amt_2,
TRUE, 0)</f>
        <v>0</v>
      </c>
      <c r="BB10" s="48" cm="1">
        <f t="array" ref="BB10" xml:space="preserve"> _xlfn.IFS(_xlfn.SINGLE(Period_End)=Installment_Date_1, -Equipment_Cost*Installment_Amt_1,
_xlfn.SINGLE(Period_End)=Installment_Date_2, -Equipment_Cost*Installment_Amt_2,
TRUE, 0)</f>
        <v>0</v>
      </c>
      <c r="BC10" s="48" cm="1">
        <f t="array" ref="BC10" xml:space="preserve"> _xlfn.IFS(_xlfn.SINGLE(Period_End)=Installment_Date_1, -Equipment_Cost*Installment_Amt_1,
_xlfn.SINGLE(Period_End)=Installment_Date_2, -Equipment_Cost*Installment_Amt_2,
TRUE, 0)</f>
        <v>0</v>
      </c>
      <c r="BD10" s="48" cm="1">
        <f t="array" ref="BD10" xml:space="preserve"> _xlfn.IFS(_xlfn.SINGLE(Period_End)=Installment_Date_1, -Equipment_Cost*Installment_Amt_1,
_xlfn.SINGLE(Period_End)=Installment_Date_2, -Equipment_Cost*Installment_Amt_2,
TRUE, 0)</f>
        <v>0</v>
      </c>
      <c r="BE10" s="48" cm="1">
        <f t="array" ref="BE10" xml:space="preserve"> _xlfn.IFS(_xlfn.SINGLE(Period_End)=Installment_Date_1, -Equipment_Cost*Installment_Amt_1,
_xlfn.SINGLE(Period_End)=Installment_Date_2, -Equipment_Cost*Installment_Amt_2,
TRUE, 0)</f>
        <v>0</v>
      </c>
      <c r="BF10" s="48" cm="1">
        <f t="array" ref="BF10" xml:space="preserve"> _xlfn.IFS(_xlfn.SINGLE(Period_End)=Installment_Date_1, -Equipment_Cost*Installment_Amt_1,
_xlfn.SINGLE(Period_End)=Installment_Date_2, -Equipment_Cost*Installment_Amt_2,
TRUE, 0)</f>
        <v>0</v>
      </c>
      <c r="BG10" s="48" cm="1">
        <f t="array" ref="BG10" xml:space="preserve"> _xlfn.IFS(_xlfn.SINGLE(Period_End)=Installment_Date_1, -Equipment_Cost*Installment_Amt_1,
_xlfn.SINGLE(Period_End)=Installment_Date_2, -Equipment_Cost*Installment_Amt_2,
TRUE, 0)</f>
        <v>0</v>
      </c>
      <c r="BH10" s="48" cm="1">
        <f t="array" ref="BH10" xml:space="preserve"> _xlfn.IFS(_xlfn.SINGLE(Period_End)=Installment_Date_1, -Equipment_Cost*Installment_Amt_1,
_xlfn.SINGLE(Period_End)=Installment_Date_2, -Equipment_Cost*Installment_Amt_2,
TRUE, 0)</f>
        <v>0</v>
      </c>
      <c r="BI10" s="48" cm="1">
        <f t="array" ref="BI10" xml:space="preserve"> _xlfn.IFS(_xlfn.SINGLE(Period_End)=Installment_Date_1, -Equipment_Cost*Installment_Amt_1,
_xlfn.SINGLE(Period_End)=Installment_Date_2, -Equipment_Cost*Installment_Amt_2,
TRUE, 0)</f>
        <v>0</v>
      </c>
      <c r="BJ10" s="48" cm="1">
        <f t="array" ref="BJ10" xml:space="preserve"> _xlfn.IFS(_xlfn.SINGLE(Period_End)=Installment_Date_1, -Equipment_Cost*Installment_Amt_1,
_xlfn.SINGLE(Period_End)=Installment_Date_2, -Equipment_Cost*Installment_Amt_2,
TRUE, 0)</f>
        <v>0</v>
      </c>
      <c r="BK10" s="48" cm="1">
        <f t="array" ref="BK10" xml:space="preserve"> _xlfn.IFS(_xlfn.SINGLE(Period_End)=Installment_Date_1, -Equipment_Cost*Installment_Amt_1,
_xlfn.SINGLE(Period_End)=Installment_Date_2, -Equipment_Cost*Installment_Amt_2,
TRUE, 0)</f>
        <v>0</v>
      </c>
      <c r="BL10" s="48" cm="1">
        <f t="array" ref="BL10" xml:space="preserve"> _xlfn.IFS(_xlfn.SINGLE(Period_End)=Installment_Date_1, -Equipment_Cost*Installment_Amt_1,
_xlfn.SINGLE(Period_End)=Installment_Date_2, -Equipment_Cost*Installment_Amt_2,
TRUE, 0)</f>
        <v>0</v>
      </c>
      <c r="BM10" s="48" cm="1">
        <f t="array" ref="BM10" xml:space="preserve"> _xlfn.IFS(_xlfn.SINGLE(Period_End)=Installment_Date_1, -Equipment_Cost*Installment_Amt_1,
_xlfn.SINGLE(Period_End)=Installment_Date_2, -Equipment_Cost*Installment_Amt_2,
TRUE, 0)</f>
        <v>0</v>
      </c>
      <c r="BN10" s="48" cm="1">
        <f t="array" ref="BN10" xml:space="preserve"> _xlfn.IFS(_xlfn.SINGLE(Period_End)=Installment_Date_1, -Equipment_Cost*Installment_Amt_1,
_xlfn.SINGLE(Period_End)=Installment_Date_2, -Equipment_Cost*Installment_Amt_2,
TRUE, 0)</f>
        <v>0</v>
      </c>
      <c r="BO10" s="48" cm="1">
        <f t="array" ref="BO10" xml:space="preserve"> _xlfn.IFS(_xlfn.SINGLE(Period_End)=Installment_Date_1, -Equipment_Cost*Installment_Amt_1,
_xlfn.SINGLE(Period_End)=Installment_Date_2, -Equipment_Cost*Installment_Amt_2,
TRUE, 0)</f>
        <v>0</v>
      </c>
      <c r="BP10" s="48" cm="1">
        <f t="array" ref="BP10" xml:space="preserve"> _xlfn.IFS(_xlfn.SINGLE(Period_End)=Installment_Date_1, -Equipment_Cost*Installment_Amt_1,
_xlfn.SINGLE(Period_End)=Installment_Date_2, -Equipment_Cost*Installment_Amt_2,
TRUE, 0)</f>
        <v>0</v>
      </c>
      <c r="BQ10" s="48" cm="1">
        <f t="array" ref="BQ10" xml:space="preserve"> _xlfn.IFS(_xlfn.SINGLE(Period_End)=Installment_Date_1, -Equipment_Cost*Installment_Amt_1,
_xlfn.SINGLE(Period_End)=Installment_Date_2, -Equipment_Cost*Installment_Amt_2,
TRUE, 0)</f>
        <v>0</v>
      </c>
      <c r="BR10" s="48" cm="1">
        <f t="array" ref="BR10" xml:space="preserve"> _xlfn.IFS(_xlfn.SINGLE(Period_End)=Installment_Date_1, -Equipment_Cost*Installment_Amt_1,
_xlfn.SINGLE(Period_End)=Installment_Date_2, -Equipment_Cost*Installment_Amt_2,
TRUE, 0)</f>
        <v>0</v>
      </c>
      <c r="BS10" s="48" cm="1">
        <f t="array" ref="BS10" xml:space="preserve"> _xlfn.IFS(_xlfn.SINGLE(Period_End)=Installment_Date_1, -Equipment_Cost*Installment_Amt_1,
_xlfn.SINGLE(Period_End)=Installment_Date_2, -Equipment_Cost*Installment_Amt_2,
TRUE, 0)</f>
        <v>0</v>
      </c>
      <c r="BT10" s="48" cm="1">
        <f t="array" ref="BT10" xml:space="preserve"> _xlfn.IFS(_xlfn.SINGLE(Period_End)=Installment_Date_1, -Equipment_Cost*Installment_Amt_1,
_xlfn.SINGLE(Period_End)=Installment_Date_2, -Equipment_Cost*Installment_Amt_2,
TRUE, 0)</f>
        <v>0</v>
      </c>
      <c r="BU10" s="48" cm="1">
        <f t="array" ref="BU10" xml:space="preserve"> _xlfn.IFS(_xlfn.SINGLE(Period_End)=Installment_Date_1, -Equipment_Cost*Installment_Amt_1,
_xlfn.SINGLE(Period_End)=Installment_Date_2, -Equipment_Cost*Installment_Amt_2,
TRUE, 0)</f>
        <v>0</v>
      </c>
      <c r="BV10" s="48" cm="1">
        <f t="array" ref="BV10" xml:space="preserve"> _xlfn.IFS(_xlfn.SINGLE(Period_End)=Installment_Date_1, -Equipment_Cost*Installment_Amt_1,
_xlfn.SINGLE(Period_End)=Installment_Date_2, -Equipment_Cost*Installment_Amt_2,
TRUE, 0)</f>
        <v>0</v>
      </c>
      <c r="BW10" s="48" cm="1">
        <f t="array" ref="BW10" xml:space="preserve"> _xlfn.IFS(_xlfn.SINGLE(Period_End)=Installment_Date_1, -Equipment_Cost*Installment_Amt_1,
_xlfn.SINGLE(Period_End)=Installment_Date_2, -Equipment_Cost*Installment_Amt_2,
TRUE, 0)</f>
        <v>0</v>
      </c>
      <c r="BX10" s="48" cm="1">
        <f t="array" ref="BX10" xml:space="preserve"> _xlfn.IFS(_xlfn.SINGLE(Period_End)=Installment_Date_1, -Equipment_Cost*Installment_Amt_1,
_xlfn.SINGLE(Period_End)=Installment_Date_2, -Equipment_Cost*Installment_Amt_2,
TRUE, 0)</f>
        <v>0</v>
      </c>
      <c r="BY10" s="48" cm="1">
        <f t="array" ref="BY10" xml:space="preserve"> _xlfn.IFS(_xlfn.SINGLE(Period_End)=Installment_Date_1, -Equipment_Cost*Installment_Amt_1,
_xlfn.SINGLE(Period_End)=Installment_Date_2, -Equipment_Cost*Installment_Amt_2,
TRUE, 0)</f>
        <v>0</v>
      </c>
      <c r="BZ10" s="48" cm="1">
        <f t="array" ref="BZ10" xml:space="preserve"> _xlfn.IFS(_xlfn.SINGLE(Period_End)=Installment_Date_1, -Equipment_Cost*Installment_Amt_1,
_xlfn.SINGLE(Period_End)=Installment_Date_2, -Equipment_Cost*Installment_Amt_2,
TRUE, 0)</f>
        <v>0</v>
      </c>
      <c r="CA10" s="48" cm="1">
        <f t="array" ref="CA10" xml:space="preserve"> _xlfn.IFS(_xlfn.SINGLE(Period_End)=Installment_Date_1, -Equipment_Cost*Installment_Amt_1,
_xlfn.SINGLE(Period_End)=Installment_Date_2, -Equipment_Cost*Installment_Amt_2,
TRUE, 0)</f>
        <v>0</v>
      </c>
      <c r="CB10" s="48" cm="1">
        <f t="array" ref="CB10" xml:space="preserve"> _xlfn.IFS(_xlfn.SINGLE(Period_End)=Installment_Date_1, -Equipment_Cost*Installment_Amt_1,
_xlfn.SINGLE(Period_End)=Installment_Date_2, -Equipment_Cost*Installment_Amt_2,
TRUE, 0)</f>
        <v>0</v>
      </c>
      <c r="CC10" s="48" cm="1">
        <f t="array" ref="CC10" xml:space="preserve"> _xlfn.IFS(_xlfn.SINGLE(Period_End)=Installment_Date_1, -Equipment_Cost*Installment_Amt_1,
_xlfn.SINGLE(Period_End)=Installment_Date_2, -Equipment_Cost*Installment_Amt_2,
TRUE, 0)</f>
        <v>0</v>
      </c>
      <c r="CD10" s="48" cm="1">
        <f t="array" ref="CD10" xml:space="preserve"> _xlfn.IFS(_xlfn.SINGLE(Period_End)=Installment_Date_1, -Equipment_Cost*Installment_Amt_1,
_xlfn.SINGLE(Period_End)=Installment_Date_2, -Equipment_Cost*Installment_Amt_2,
TRUE, 0)</f>
        <v>0</v>
      </c>
      <c r="CE10" s="48" cm="1">
        <f t="array" ref="CE10" xml:space="preserve"> _xlfn.IFS(_xlfn.SINGLE(Period_End)=Installment_Date_1, -Equipment_Cost*Installment_Amt_1,
_xlfn.SINGLE(Period_End)=Installment_Date_2, -Equipment_Cost*Installment_Amt_2,
TRUE, 0)</f>
        <v>0</v>
      </c>
      <c r="CF10" s="48" cm="1">
        <f t="array" ref="CF10" xml:space="preserve"> _xlfn.IFS(_xlfn.SINGLE(Period_End)=Installment_Date_1, -Equipment_Cost*Installment_Amt_1,
_xlfn.SINGLE(Period_End)=Installment_Date_2, -Equipment_Cost*Installment_Amt_2,
TRUE, 0)</f>
        <v>0</v>
      </c>
      <c r="CG10" s="48" cm="1">
        <f t="array" ref="CG10" xml:space="preserve"> _xlfn.IFS(_xlfn.SINGLE(Period_End)=Installment_Date_1, -Equipment_Cost*Installment_Amt_1,
_xlfn.SINGLE(Period_End)=Installment_Date_2, -Equipment_Cost*Installment_Amt_2,
TRUE, 0)</f>
        <v>0</v>
      </c>
      <c r="CH10" s="48" cm="1">
        <f t="array" ref="CH10" xml:space="preserve"> _xlfn.IFS(_xlfn.SINGLE(Period_End)=Installment_Date_1, -Equipment_Cost*Installment_Amt_1,
_xlfn.SINGLE(Period_End)=Installment_Date_2, -Equipment_Cost*Installment_Amt_2,
TRUE, 0)</f>
        <v>0</v>
      </c>
      <c r="CI10" s="48" cm="1">
        <f t="array" ref="CI10" xml:space="preserve"> _xlfn.IFS(_xlfn.SINGLE(Period_End)=Installment_Date_1, -Equipment_Cost*Installment_Amt_1,
_xlfn.SINGLE(Period_End)=Installment_Date_2, -Equipment_Cost*Installment_Amt_2,
TRUE, 0)</f>
        <v>0</v>
      </c>
      <c r="CJ10" s="48" cm="1">
        <f t="array" ref="CJ10" xml:space="preserve"> _xlfn.IFS(_xlfn.SINGLE(Period_End)=Installment_Date_1, -Equipment_Cost*Installment_Amt_1,
_xlfn.SINGLE(Period_End)=Installment_Date_2, -Equipment_Cost*Installment_Amt_2,
TRUE, 0)</f>
        <v>0</v>
      </c>
      <c r="CK10" s="48" cm="1">
        <f t="array" ref="CK10" xml:space="preserve"> _xlfn.IFS(_xlfn.SINGLE(Period_End)=Installment_Date_1, -Equipment_Cost*Installment_Amt_1,
_xlfn.SINGLE(Period_End)=Installment_Date_2, -Equipment_Cost*Installment_Amt_2,
TRUE, 0)</f>
        <v>0</v>
      </c>
      <c r="CL10" s="48" cm="1">
        <f t="array" ref="CL10" xml:space="preserve"> _xlfn.IFS(_xlfn.SINGLE(Period_End)=Installment_Date_1, -Equipment_Cost*Installment_Amt_1,
_xlfn.SINGLE(Period_End)=Installment_Date_2, -Equipment_Cost*Installment_Amt_2,
TRUE, 0)</f>
        <v>0</v>
      </c>
      <c r="CM10" s="48" cm="1">
        <f t="array" ref="CM10" xml:space="preserve"> _xlfn.IFS(_xlfn.SINGLE(Period_End)=Installment_Date_1, -Equipment_Cost*Installment_Amt_1,
_xlfn.SINGLE(Period_End)=Installment_Date_2, -Equipment_Cost*Installment_Amt_2,
TRUE, 0)</f>
        <v>0</v>
      </c>
      <c r="CN10" s="48" cm="1">
        <f t="array" ref="CN10" xml:space="preserve"> _xlfn.IFS(_xlfn.SINGLE(Period_End)=Installment_Date_1, -Equipment_Cost*Installment_Amt_1,
_xlfn.SINGLE(Period_End)=Installment_Date_2, -Equipment_Cost*Installment_Amt_2,
TRUE, 0)</f>
        <v>0</v>
      </c>
      <c r="CO10" s="48" cm="1">
        <f t="array" ref="CO10" xml:space="preserve"> _xlfn.IFS(_xlfn.SINGLE(Period_End)=Installment_Date_1, -Equipment_Cost*Installment_Amt_1,
_xlfn.SINGLE(Period_End)=Installment_Date_2, -Equipment_Cost*Installment_Amt_2,
TRUE, 0)</f>
        <v>0</v>
      </c>
      <c r="CP10" s="48" cm="1">
        <f t="array" ref="CP10" xml:space="preserve"> _xlfn.IFS(_xlfn.SINGLE(Period_End)=Installment_Date_1, -Equipment_Cost*Installment_Amt_1,
_xlfn.SINGLE(Period_End)=Installment_Date_2, -Equipment_Cost*Installment_Amt_2,
TRUE, 0)</f>
        <v>0</v>
      </c>
      <c r="CQ10" s="48" cm="1">
        <f t="array" ref="CQ10" xml:space="preserve"> _xlfn.IFS(_xlfn.SINGLE(Period_End)=Installment_Date_1, -Equipment_Cost*Installment_Amt_1,
_xlfn.SINGLE(Period_End)=Installment_Date_2, -Equipment_Cost*Installment_Amt_2,
TRUE, 0)</f>
        <v>0</v>
      </c>
      <c r="CR10" s="48" cm="1">
        <f t="array" ref="CR10" xml:space="preserve"> _xlfn.IFS(_xlfn.SINGLE(Period_End)=Installment_Date_1, -Equipment_Cost*Installment_Amt_1,
_xlfn.SINGLE(Period_End)=Installment_Date_2, -Equipment_Cost*Installment_Amt_2,
TRUE, 0)</f>
        <v>0</v>
      </c>
      <c r="CS10" s="48" cm="1">
        <f t="array" ref="CS10" xml:space="preserve"> _xlfn.IFS(_xlfn.SINGLE(Period_End)=Installment_Date_1, -Equipment_Cost*Installment_Amt_1,
_xlfn.SINGLE(Period_End)=Installment_Date_2, -Equipment_Cost*Installment_Amt_2,
TRUE, 0)</f>
        <v>0</v>
      </c>
      <c r="CT10" s="48" cm="1">
        <f t="array" ref="CT10" xml:space="preserve"> _xlfn.IFS(_xlfn.SINGLE(Period_End)=Installment_Date_1, -Equipment_Cost*Installment_Amt_1,
_xlfn.SINGLE(Period_End)=Installment_Date_2, -Equipment_Cost*Installment_Amt_2,
TRUE, 0)</f>
        <v>0</v>
      </c>
      <c r="CU10" s="48" cm="1">
        <f t="array" ref="CU10" xml:space="preserve"> _xlfn.IFS(_xlfn.SINGLE(Period_End)=Installment_Date_1, -Equipment_Cost*Installment_Amt_1,
_xlfn.SINGLE(Period_End)=Installment_Date_2, -Equipment_Cost*Installment_Amt_2,
TRUE, 0)</f>
        <v>0</v>
      </c>
      <c r="CV10" s="48" cm="1">
        <f t="array" ref="CV10" xml:space="preserve"> _xlfn.IFS(_xlfn.SINGLE(Period_End)=Installment_Date_1, -Equipment_Cost*Installment_Amt_1,
_xlfn.SINGLE(Period_End)=Installment_Date_2, -Equipment_Cost*Installment_Amt_2,
TRUE, 0)</f>
        <v>0</v>
      </c>
      <c r="CW10" s="48" cm="1">
        <f t="array" ref="CW10" xml:space="preserve"> _xlfn.IFS(_xlfn.SINGLE(Period_End)=Installment_Date_1, -Equipment_Cost*Installment_Amt_1,
_xlfn.SINGLE(Period_End)=Installment_Date_2, -Equipment_Cost*Installment_Amt_2,
TRUE, 0)</f>
        <v>0</v>
      </c>
      <c r="CX10" s="48" cm="1">
        <f t="array" ref="CX10" xml:space="preserve"> _xlfn.IFS(_xlfn.SINGLE(Period_End)=Installment_Date_1, -Equipment_Cost*Installment_Amt_1,
_xlfn.SINGLE(Period_End)=Installment_Date_2, -Equipment_Cost*Installment_Amt_2,
TRUE, 0)</f>
        <v>0</v>
      </c>
      <c r="CY10" s="48" cm="1">
        <f t="array" ref="CY10" xml:space="preserve"> _xlfn.IFS(_xlfn.SINGLE(Period_End)=Installment_Date_1, -Equipment_Cost*Installment_Amt_1,
_xlfn.SINGLE(Period_End)=Installment_Date_2, -Equipment_Cost*Installment_Amt_2,
TRUE, 0)</f>
        <v>0</v>
      </c>
      <c r="CZ10" s="48" cm="1">
        <f t="array" ref="CZ10" xml:space="preserve"> _xlfn.IFS(_xlfn.SINGLE(Period_End)=Installment_Date_1, -Equipment_Cost*Installment_Amt_1,
_xlfn.SINGLE(Period_End)=Installment_Date_2, -Equipment_Cost*Installment_Amt_2,
TRUE, 0)</f>
        <v>0</v>
      </c>
      <c r="DA10" s="48" cm="1">
        <f t="array" ref="DA10" xml:space="preserve"> _xlfn.IFS(_xlfn.SINGLE(Period_End)=Installment_Date_1, -Equipment_Cost*Installment_Amt_1,
_xlfn.SINGLE(Period_End)=Installment_Date_2, -Equipment_Cost*Installment_Amt_2,
TRUE, 0)</f>
        <v>0</v>
      </c>
      <c r="DB10" s="48" cm="1">
        <f t="array" ref="DB10" xml:space="preserve"> _xlfn.IFS(_xlfn.SINGLE(Period_End)=Installment_Date_1, -Equipment_Cost*Installment_Amt_1,
_xlfn.SINGLE(Period_End)=Installment_Date_2, -Equipment_Cost*Installment_Amt_2,
TRUE, 0)</f>
        <v>0</v>
      </c>
      <c r="DC10" s="48" cm="1">
        <f t="array" ref="DC10" xml:space="preserve"> _xlfn.IFS(_xlfn.SINGLE(Period_End)=Installment_Date_1, -Equipment_Cost*Installment_Amt_1,
_xlfn.SINGLE(Period_End)=Installment_Date_2, -Equipment_Cost*Installment_Amt_2,
TRUE, 0)</f>
        <v>0</v>
      </c>
      <c r="DD10" s="48" cm="1">
        <f t="array" ref="DD10" xml:space="preserve"> _xlfn.IFS(_xlfn.SINGLE(Period_End)=Installment_Date_1, -Equipment_Cost*Installment_Amt_1,
_xlfn.SINGLE(Period_End)=Installment_Date_2, -Equipment_Cost*Installment_Amt_2,
TRUE, 0)</f>
        <v>0</v>
      </c>
      <c r="DE10" s="48" cm="1">
        <f t="array" ref="DE10" xml:space="preserve"> _xlfn.IFS(_xlfn.SINGLE(Period_End)=Installment_Date_1, -Equipment_Cost*Installment_Amt_1,
_xlfn.SINGLE(Period_End)=Installment_Date_2, -Equipment_Cost*Installment_Amt_2,
TRUE, 0)</f>
        <v>0</v>
      </c>
      <c r="DF10" s="48" cm="1">
        <f t="array" ref="DF10" xml:space="preserve"> _xlfn.IFS(_xlfn.SINGLE(Period_End)=Installment_Date_1, -Equipment_Cost*Installment_Amt_1,
_xlfn.SINGLE(Period_End)=Installment_Date_2, -Equipment_Cost*Installment_Amt_2,
TRUE, 0)</f>
        <v>0</v>
      </c>
      <c r="DG10" s="48" cm="1">
        <f t="array" ref="DG10" xml:space="preserve"> _xlfn.IFS(_xlfn.SINGLE(Period_End)=Installment_Date_1, -Equipment_Cost*Installment_Amt_1,
_xlfn.SINGLE(Period_End)=Installment_Date_2, -Equipment_Cost*Installment_Amt_2,
TRUE, 0)</f>
        <v>0</v>
      </c>
      <c r="DH10" s="48" cm="1">
        <f t="array" ref="DH10" xml:space="preserve"> _xlfn.IFS(_xlfn.SINGLE(Period_End)=Installment_Date_1, -Equipment_Cost*Installment_Amt_1,
_xlfn.SINGLE(Period_End)=Installment_Date_2, -Equipment_Cost*Installment_Amt_2,
TRUE, 0)</f>
        <v>0</v>
      </c>
      <c r="DI10" s="48" cm="1">
        <f t="array" ref="DI10" xml:space="preserve"> _xlfn.IFS(_xlfn.SINGLE(Period_End)=Installment_Date_1, -Equipment_Cost*Installment_Amt_1,
_xlfn.SINGLE(Period_End)=Installment_Date_2, -Equipment_Cost*Installment_Amt_2,
TRUE, 0)</f>
        <v>0</v>
      </c>
      <c r="DJ10" s="48" cm="1">
        <f t="array" ref="DJ10" xml:space="preserve"> _xlfn.IFS(_xlfn.SINGLE(Period_End)=Installment_Date_1, -Equipment_Cost*Installment_Amt_1,
_xlfn.SINGLE(Period_End)=Installment_Date_2, -Equipment_Cost*Installment_Amt_2,
TRUE, 0)</f>
        <v>0</v>
      </c>
      <c r="DK10" s="48" cm="1">
        <f t="array" ref="DK10" xml:space="preserve"> _xlfn.IFS(_xlfn.SINGLE(Period_End)=Installment_Date_1, -Equipment_Cost*Installment_Amt_1,
_xlfn.SINGLE(Period_End)=Installment_Date_2, -Equipment_Cost*Installment_Amt_2,
TRUE, 0)</f>
        <v>0</v>
      </c>
      <c r="DL10" s="48" cm="1">
        <f t="array" ref="DL10" xml:space="preserve"> _xlfn.IFS(_xlfn.SINGLE(Period_End)=Installment_Date_1, -Equipment_Cost*Installment_Amt_1,
_xlfn.SINGLE(Period_End)=Installment_Date_2, -Equipment_Cost*Installment_Amt_2,
TRUE, 0)</f>
        <v>0</v>
      </c>
      <c r="DM10" s="48" cm="1">
        <f t="array" ref="DM10" xml:space="preserve"> _xlfn.IFS(_xlfn.SINGLE(Period_End)=Installment_Date_1, -Equipment_Cost*Installment_Amt_1,
_xlfn.SINGLE(Period_End)=Installment_Date_2, -Equipment_Cost*Installment_Amt_2,
TRUE, 0)</f>
        <v>0</v>
      </c>
      <c r="DN10" s="48" cm="1">
        <f t="array" ref="DN10" xml:space="preserve"> _xlfn.IFS(_xlfn.SINGLE(Period_End)=Installment_Date_1, -Equipment_Cost*Installment_Amt_1,
_xlfn.SINGLE(Period_End)=Installment_Date_2, -Equipment_Cost*Installment_Amt_2,
TRUE, 0)</f>
        <v>0</v>
      </c>
      <c r="DO10" s="48" cm="1">
        <f t="array" ref="DO10" xml:space="preserve"> _xlfn.IFS(_xlfn.SINGLE(Period_End)=Installment_Date_1, -Equipment_Cost*Installment_Amt_1,
_xlfn.SINGLE(Period_End)=Installment_Date_2, -Equipment_Cost*Installment_Amt_2,
TRUE, 0)</f>
        <v>0</v>
      </c>
      <c r="DP10" s="48" cm="1">
        <f t="array" ref="DP10" xml:space="preserve"> _xlfn.IFS(_xlfn.SINGLE(Period_End)=Installment_Date_1, -Equipment_Cost*Installment_Amt_1,
_xlfn.SINGLE(Period_End)=Installment_Date_2, -Equipment_Cost*Installment_Amt_2,
TRUE, 0)</f>
        <v>0</v>
      </c>
      <c r="DQ10" s="48" cm="1">
        <f t="array" ref="DQ10" xml:space="preserve"> _xlfn.IFS(_xlfn.SINGLE(Period_End)=Installment_Date_1, -Equipment_Cost*Installment_Amt_1,
_xlfn.SINGLE(Period_End)=Installment_Date_2, -Equipment_Cost*Installment_Amt_2,
TRUE, 0)</f>
        <v>0</v>
      </c>
      <c r="DR10" s="48" cm="1">
        <f t="array" ref="DR10" xml:space="preserve"> _xlfn.IFS(_xlfn.SINGLE(Period_End)=Installment_Date_1, -Equipment_Cost*Installment_Amt_1,
_xlfn.SINGLE(Period_End)=Installment_Date_2, -Equipment_Cost*Installment_Amt_2,
TRUE, 0)</f>
        <v>0</v>
      </c>
      <c r="DS10" s="48" cm="1">
        <f t="array" ref="DS10" xml:space="preserve"> _xlfn.IFS(_xlfn.SINGLE(Period_End)=Installment_Date_1, -Equipment_Cost*Installment_Amt_1,
_xlfn.SINGLE(Period_End)=Installment_Date_2, -Equipment_Cost*Installment_Amt_2,
TRUE, 0)</f>
        <v>0</v>
      </c>
    </row>
    <row r="11" spans="1:125" x14ac:dyDescent="0.35">
      <c r="A11" s="51"/>
      <c r="B11" s="56" t="s">
        <v>138</v>
      </c>
      <c r="C11" s="48">
        <f t="shared" ref="C11:AH11" si="232" xml:space="preserve"> SUM(_xlfn.SINGLE(Land),_xlfn.SINGLE(Construction),_xlfn.SINGLE(Equipment_Advance))</f>
        <v>-50000</v>
      </c>
      <c r="D11" s="48">
        <f t="shared" si="232"/>
        <v>-30000</v>
      </c>
      <c r="E11" s="48">
        <f t="shared" si="232"/>
        <v>-30000</v>
      </c>
      <c r="F11" s="48">
        <f t="shared" si="232"/>
        <v>-30000</v>
      </c>
      <c r="G11" s="48">
        <f t="shared" si="232"/>
        <v>-30000</v>
      </c>
      <c r="H11" s="48">
        <f t="shared" si="232"/>
        <v>-30000</v>
      </c>
      <c r="I11" s="48">
        <f t="shared" si="232"/>
        <v>-105000</v>
      </c>
      <c r="J11" s="48">
        <f t="shared" si="232"/>
        <v>-30000</v>
      </c>
      <c r="K11" s="48">
        <f t="shared" si="232"/>
        <v>-30000</v>
      </c>
      <c r="L11" s="48">
        <f t="shared" si="232"/>
        <v>-30000</v>
      </c>
      <c r="M11" s="48">
        <f t="shared" si="232"/>
        <v>-30000</v>
      </c>
      <c r="N11" s="48">
        <f t="shared" si="232"/>
        <v>-30000</v>
      </c>
      <c r="O11" s="48">
        <f t="shared" si="232"/>
        <v>-105000</v>
      </c>
      <c r="P11" s="48">
        <f t="shared" si="232"/>
        <v>0</v>
      </c>
      <c r="Q11" s="48">
        <f t="shared" si="232"/>
        <v>0</v>
      </c>
      <c r="R11" s="48">
        <f t="shared" si="232"/>
        <v>0</v>
      </c>
      <c r="S11" s="48">
        <f t="shared" si="232"/>
        <v>0</v>
      </c>
      <c r="T11" s="48">
        <f t="shared" si="232"/>
        <v>0</v>
      </c>
      <c r="U11" s="48">
        <f t="shared" si="232"/>
        <v>0</v>
      </c>
      <c r="V11" s="48">
        <f t="shared" si="232"/>
        <v>0</v>
      </c>
      <c r="W11" s="48">
        <f t="shared" si="232"/>
        <v>0</v>
      </c>
      <c r="X11" s="48">
        <f t="shared" si="232"/>
        <v>0</v>
      </c>
      <c r="Y11" s="48">
        <f t="shared" si="232"/>
        <v>0</v>
      </c>
      <c r="Z11" s="48">
        <f t="shared" si="232"/>
        <v>0</v>
      </c>
      <c r="AA11" s="48">
        <f t="shared" si="232"/>
        <v>0</v>
      </c>
      <c r="AB11" s="48">
        <f t="shared" si="232"/>
        <v>0</v>
      </c>
      <c r="AC11" s="48">
        <f t="shared" si="232"/>
        <v>0</v>
      </c>
      <c r="AD11" s="48">
        <f t="shared" si="232"/>
        <v>0</v>
      </c>
      <c r="AE11" s="48">
        <f t="shared" si="232"/>
        <v>0</v>
      </c>
      <c r="AF11" s="48">
        <f t="shared" si="232"/>
        <v>0</v>
      </c>
      <c r="AG11" s="48">
        <f t="shared" si="232"/>
        <v>0</v>
      </c>
      <c r="AH11" s="48">
        <f t="shared" si="232"/>
        <v>0</v>
      </c>
      <c r="AI11" s="48">
        <f t="shared" ref="AI11:BN11" si="233" xml:space="preserve"> SUM(_xlfn.SINGLE(Land),_xlfn.SINGLE(Construction),_xlfn.SINGLE(Equipment_Advance))</f>
        <v>0</v>
      </c>
      <c r="AJ11" s="48">
        <f t="shared" si="233"/>
        <v>0</v>
      </c>
      <c r="AK11" s="48">
        <f t="shared" si="233"/>
        <v>0</v>
      </c>
      <c r="AL11" s="48">
        <f t="shared" si="233"/>
        <v>0</v>
      </c>
      <c r="AM11" s="48">
        <f t="shared" si="233"/>
        <v>0</v>
      </c>
      <c r="AN11" s="48">
        <f t="shared" si="233"/>
        <v>0</v>
      </c>
      <c r="AO11" s="48">
        <f t="shared" si="233"/>
        <v>0</v>
      </c>
      <c r="AP11" s="48">
        <f t="shared" si="233"/>
        <v>0</v>
      </c>
      <c r="AQ11" s="48">
        <f t="shared" si="233"/>
        <v>0</v>
      </c>
      <c r="AR11" s="48">
        <f t="shared" si="233"/>
        <v>0</v>
      </c>
      <c r="AS11" s="48">
        <f t="shared" si="233"/>
        <v>0</v>
      </c>
      <c r="AT11" s="48">
        <f t="shared" si="233"/>
        <v>0</v>
      </c>
      <c r="AU11" s="48">
        <f t="shared" si="233"/>
        <v>0</v>
      </c>
      <c r="AV11" s="48">
        <f t="shared" si="233"/>
        <v>0</v>
      </c>
      <c r="AW11" s="48">
        <f t="shared" si="233"/>
        <v>0</v>
      </c>
      <c r="AX11" s="48">
        <f t="shared" si="233"/>
        <v>0</v>
      </c>
      <c r="AY11" s="48">
        <f t="shared" si="233"/>
        <v>0</v>
      </c>
      <c r="AZ11" s="48">
        <f t="shared" si="233"/>
        <v>0</v>
      </c>
      <c r="BA11" s="48">
        <f t="shared" si="233"/>
        <v>0</v>
      </c>
      <c r="BB11" s="48">
        <f t="shared" si="233"/>
        <v>0</v>
      </c>
      <c r="BC11" s="48">
        <f t="shared" si="233"/>
        <v>0</v>
      </c>
      <c r="BD11" s="48">
        <f t="shared" si="233"/>
        <v>0</v>
      </c>
      <c r="BE11" s="48">
        <f t="shared" si="233"/>
        <v>0</v>
      </c>
      <c r="BF11" s="48">
        <f t="shared" si="233"/>
        <v>0</v>
      </c>
      <c r="BG11" s="48">
        <f t="shared" si="233"/>
        <v>0</v>
      </c>
      <c r="BH11" s="48">
        <f t="shared" si="233"/>
        <v>0</v>
      </c>
      <c r="BI11" s="48">
        <f t="shared" si="233"/>
        <v>0</v>
      </c>
      <c r="BJ11" s="48">
        <f t="shared" si="233"/>
        <v>0</v>
      </c>
      <c r="BK11" s="48">
        <f t="shared" si="233"/>
        <v>0</v>
      </c>
      <c r="BL11" s="48">
        <f t="shared" si="233"/>
        <v>0</v>
      </c>
      <c r="BM11" s="48">
        <f t="shared" si="233"/>
        <v>0</v>
      </c>
      <c r="BN11" s="48">
        <f t="shared" si="233"/>
        <v>0</v>
      </c>
      <c r="BO11" s="48">
        <f t="shared" ref="BO11:CT11" si="234" xml:space="preserve"> SUM(_xlfn.SINGLE(Land),_xlfn.SINGLE(Construction),_xlfn.SINGLE(Equipment_Advance))</f>
        <v>0</v>
      </c>
      <c r="BP11" s="48">
        <f t="shared" si="234"/>
        <v>0</v>
      </c>
      <c r="BQ11" s="48">
        <f t="shared" si="234"/>
        <v>0</v>
      </c>
      <c r="BR11" s="48">
        <f t="shared" si="234"/>
        <v>0</v>
      </c>
      <c r="BS11" s="48">
        <f t="shared" si="234"/>
        <v>0</v>
      </c>
      <c r="BT11" s="48">
        <f t="shared" si="234"/>
        <v>0</v>
      </c>
      <c r="BU11" s="48">
        <f t="shared" si="234"/>
        <v>0</v>
      </c>
      <c r="BV11" s="48">
        <f t="shared" si="234"/>
        <v>0</v>
      </c>
      <c r="BW11" s="48">
        <f t="shared" si="234"/>
        <v>0</v>
      </c>
      <c r="BX11" s="48">
        <f t="shared" si="234"/>
        <v>0</v>
      </c>
      <c r="BY11" s="48">
        <f t="shared" si="234"/>
        <v>0</v>
      </c>
      <c r="BZ11" s="48">
        <f t="shared" si="234"/>
        <v>0</v>
      </c>
      <c r="CA11" s="48">
        <f t="shared" si="234"/>
        <v>0</v>
      </c>
      <c r="CB11" s="48">
        <f t="shared" si="234"/>
        <v>0</v>
      </c>
      <c r="CC11" s="48">
        <f t="shared" si="234"/>
        <v>0</v>
      </c>
      <c r="CD11" s="48">
        <f t="shared" si="234"/>
        <v>0</v>
      </c>
      <c r="CE11" s="48">
        <f t="shared" si="234"/>
        <v>0</v>
      </c>
      <c r="CF11" s="48">
        <f t="shared" si="234"/>
        <v>0</v>
      </c>
      <c r="CG11" s="48">
        <f t="shared" si="234"/>
        <v>0</v>
      </c>
      <c r="CH11" s="48">
        <f t="shared" si="234"/>
        <v>0</v>
      </c>
      <c r="CI11" s="48">
        <f t="shared" si="234"/>
        <v>0</v>
      </c>
      <c r="CJ11" s="48">
        <f t="shared" si="234"/>
        <v>0</v>
      </c>
      <c r="CK11" s="48">
        <f t="shared" si="234"/>
        <v>0</v>
      </c>
      <c r="CL11" s="48">
        <f t="shared" si="234"/>
        <v>0</v>
      </c>
      <c r="CM11" s="48">
        <f t="shared" si="234"/>
        <v>0</v>
      </c>
      <c r="CN11" s="48">
        <f t="shared" si="234"/>
        <v>0</v>
      </c>
      <c r="CO11" s="48">
        <f t="shared" si="234"/>
        <v>0</v>
      </c>
      <c r="CP11" s="48">
        <f t="shared" si="234"/>
        <v>0</v>
      </c>
      <c r="CQ11" s="48">
        <f t="shared" si="234"/>
        <v>0</v>
      </c>
      <c r="CR11" s="48">
        <f t="shared" si="234"/>
        <v>0</v>
      </c>
      <c r="CS11" s="48">
        <f t="shared" si="234"/>
        <v>0</v>
      </c>
      <c r="CT11" s="48">
        <f t="shared" si="234"/>
        <v>0</v>
      </c>
      <c r="CU11" s="48">
        <f t="shared" ref="CU11:DS11" si="235" xml:space="preserve"> SUM(_xlfn.SINGLE(Land),_xlfn.SINGLE(Construction),_xlfn.SINGLE(Equipment_Advance))</f>
        <v>0</v>
      </c>
      <c r="CV11" s="48">
        <f t="shared" si="235"/>
        <v>0</v>
      </c>
      <c r="CW11" s="48">
        <f t="shared" si="235"/>
        <v>0</v>
      </c>
      <c r="CX11" s="48">
        <f t="shared" si="235"/>
        <v>0</v>
      </c>
      <c r="CY11" s="48">
        <f t="shared" si="235"/>
        <v>0</v>
      </c>
      <c r="CZ11" s="48">
        <f t="shared" si="235"/>
        <v>0</v>
      </c>
      <c r="DA11" s="48">
        <f t="shared" si="235"/>
        <v>0</v>
      </c>
      <c r="DB11" s="48">
        <f t="shared" si="235"/>
        <v>0</v>
      </c>
      <c r="DC11" s="48">
        <f t="shared" si="235"/>
        <v>0</v>
      </c>
      <c r="DD11" s="48">
        <f t="shared" si="235"/>
        <v>0</v>
      </c>
      <c r="DE11" s="48">
        <f t="shared" si="235"/>
        <v>0</v>
      </c>
      <c r="DF11" s="48">
        <f t="shared" si="235"/>
        <v>0</v>
      </c>
      <c r="DG11" s="48">
        <f t="shared" si="235"/>
        <v>0</v>
      </c>
      <c r="DH11" s="48">
        <f t="shared" si="235"/>
        <v>0</v>
      </c>
      <c r="DI11" s="48">
        <f t="shared" si="235"/>
        <v>0</v>
      </c>
      <c r="DJ11" s="48">
        <f t="shared" si="235"/>
        <v>0</v>
      </c>
      <c r="DK11" s="48">
        <f t="shared" si="235"/>
        <v>0</v>
      </c>
      <c r="DL11" s="48">
        <f t="shared" si="235"/>
        <v>0</v>
      </c>
      <c r="DM11" s="48">
        <f t="shared" si="235"/>
        <v>0</v>
      </c>
      <c r="DN11" s="48">
        <f t="shared" si="235"/>
        <v>0</v>
      </c>
      <c r="DO11" s="48">
        <f t="shared" si="235"/>
        <v>0</v>
      </c>
      <c r="DP11" s="48">
        <f t="shared" si="235"/>
        <v>0</v>
      </c>
      <c r="DQ11" s="48">
        <f t="shared" si="235"/>
        <v>0</v>
      </c>
      <c r="DR11" s="48">
        <f t="shared" si="235"/>
        <v>0</v>
      </c>
      <c r="DS11" s="48">
        <f t="shared" si="235"/>
        <v>0</v>
      </c>
    </row>
    <row r="12" spans="1:125" x14ac:dyDescent="0.35">
      <c r="A12" s="49"/>
      <c r="B12" s="49" t="s">
        <v>71</v>
      </c>
      <c r="C12" s="48">
        <f t="shared" ref="C12:AH12" si="236" xml:space="preserve"> _xlfn.SINGLE(CapEx)*(1-Debt_pct)</f>
        <v>-9999.9999999999982</v>
      </c>
      <c r="D12" s="48">
        <f t="shared" si="236"/>
        <v>-5999.9999999999991</v>
      </c>
      <c r="E12" s="48">
        <f t="shared" si="236"/>
        <v>-5999.9999999999991</v>
      </c>
      <c r="F12" s="48">
        <f t="shared" si="236"/>
        <v>-5999.9999999999991</v>
      </c>
      <c r="G12" s="48">
        <f t="shared" si="236"/>
        <v>-5999.9999999999991</v>
      </c>
      <c r="H12" s="48">
        <f t="shared" si="236"/>
        <v>-5999.9999999999991</v>
      </c>
      <c r="I12" s="48">
        <f t="shared" si="236"/>
        <v>-20999.999999999996</v>
      </c>
      <c r="J12" s="48">
        <f t="shared" si="236"/>
        <v>-5999.9999999999991</v>
      </c>
      <c r="K12" s="48">
        <f t="shared" si="236"/>
        <v>-5999.9999999999991</v>
      </c>
      <c r="L12" s="48">
        <f t="shared" si="236"/>
        <v>-5999.9999999999991</v>
      </c>
      <c r="M12" s="48">
        <f t="shared" si="236"/>
        <v>-5999.9999999999991</v>
      </c>
      <c r="N12" s="48">
        <f t="shared" si="236"/>
        <v>-5999.9999999999991</v>
      </c>
      <c r="O12" s="48">
        <f t="shared" si="236"/>
        <v>-20999.999999999996</v>
      </c>
      <c r="P12" s="48">
        <f t="shared" si="236"/>
        <v>0</v>
      </c>
      <c r="Q12" s="48">
        <f t="shared" si="236"/>
        <v>0</v>
      </c>
      <c r="R12" s="48">
        <f t="shared" si="236"/>
        <v>0</v>
      </c>
      <c r="S12" s="48">
        <f t="shared" si="236"/>
        <v>0</v>
      </c>
      <c r="T12" s="48">
        <f t="shared" si="236"/>
        <v>0</v>
      </c>
      <c r="U12" s="48">
        <f t="shared" si="236"/>
        <v>0</v>
      </c>
      <c r="V12" s="48">
        <f t="shared" si="236"/>
        <v>0</v>
      </c>
      <c r="W12" s="48">
        <f t="shared" si="236"/>
        <v>0</v>
      </c>
      <c r="X12" s="48">
        <f t="shared" si="236"/>
        <v>0</v>
      </c>
      <c r="Y12" s="48">
        <f t="shared" si="236"/>
        <v>0</v>
      </c>
      <c r="Z12" s="48">
        <f t="shared" si="236"/>
        <v>0</v>
      </c>
      <c r="AA12" s="48">
        <f t="shared" si="236"/>
        <v>0</v>
      </c>
      <c r="AB12" s="48">
        <f t="shared" si="236"/>
        <v>0</v>
      </c>
      <c r="AC12" s="48">
        <f t="shared" si="236"/>
        <v>0</v>
      </c>
      <c r="AD12" s="48">
        <f t="shared" si="236"/>
        <v>0</v>
      </c>
      <c r="AE12" s="48">
        <f t="shared" si="236"/>
        <v>0</v>
      </c>
      <c r="AF12" s="48">
        <f t="shared" si="236"/>
        <v>0</v>
      </c>
      <c r="AG12" s="48">
        <f t="shared" si="236"/>
        <v>0</v>
      </c>
      <c r="AH12" s="48">
        <f t="shared" si="236"/>
        <v>0</v>
      </c>
      <c r="AI12" s="48">
        <f t="shared" ref="AI12:BN12" si="237" xml:space="preserve"> _xlfn.SINGLE(CapEx)*(1-Debt_pct)</f>
        <v>0</v>
      </c>
      <c r="AJ12" s="48">
        <f t="shared" si="237"/>
        <v>0</v>
      </c>
      <c r="AK12" s="48">
        <f t="shared" si="237"/>
        <v>0</v>
      </c>
      <c r="AL12" s="48">
        <f t="shared" si="237"/>
        <v>0</v>
      </c>
      <c r="AM12" s="48">
        <f t="shared" si="237"/>
        <v>0</v>
      </c>
      <c r="AN12" s="48">
        <f t="shared" si="237"/>
        <v>0</v>
      </c>
      <c r="AO12" s="48">
        <f t="shared" si="237"/>
        <v>0</v>
      </c>
      <c r="AP12" s="48">
        <f t="shared" si="237"/>
        <v>0</v>
      </c>
      <c r="AQ12" s="48">
        <f t="shared" si="237"/>
        <v>0</v>
      </c>
      <c r="AR12" s="48">
        <f t="shared" si="237"/>
        <v>0</v>
      </c>
      <c r="AS12" s="48">
        <f t="shared" si="237"/>
        <v>0</v>
      </c>
      <c r="AT12" s="48">
        <f t="shared" si="237"/>
        <v>0</v>
      </c>
      <c r="AU12" s="48">
        <f t="shared" si="237"/>
        <v>0</v>
      </c>
      <c r="AV12" s="48">
        <f t="shared" si="237"/>
        <v>0</v>
      </c>
      <c r="AW12" s="48">
        <f t="shared" si="237"/>
        <v>0</v>
      </c>
      <c r="AX12" s="48">
        <f t="shared" si="237"/>
        <v>0</v>
      </c>
      <c r="AY12" s="48">
        <f t="shared" si="237"/>
        <v>0</v>
      </c>
      <c r="AZ12" s="48">
        <f t="shared" si="237"/>
        <v>0</v>
      </c>
      <c r="BA12" s="48">
        <f t="shared" si="237"/>
        <v>0</v>
      </c>
      <c r="BB12" s="48">
        <f t="shared" si="237"/>
        <v>0</v>
      </c>
      <c r="BC12" s="48">
        <f t="shared" si="237"/>
        <v>0</v>
      </c>
      <c r="BD12" s="48">
        <f t="shared" si="237"/>
        <v>0</v>
      </c>
      <c r="BE12" s="48">
        <f t="shared" si="237"/>
        <v>0</v>
      </c>
      <c r="BF12" s="48">
        <f t="shared" si="237"/>
        <v>0</v>
      </c>
      <c r="BG12" s="48">
        <f t="shared" si="237"/>
        <v>0</v>
      </c>
      <c r="BH12" s="48">
        <f t="shared" si="237"/>
        <v>0</v>
      </c>
      <c r="BI12" s="48">
        <f t="shared" si="237"/>
        <v>0</v>
      </c>
      <c r="BJ12" s="48">
        <f t="shared" si="237"/>
        <v>0</v>
      </c>
      <c r="BK12" s="48">
        <f t="shared" si="237"/>
        <v>0</v>
      </c>
      <c r="BL12" s="48">
        <f t="shared" si="237"/>
        <v>0</v>
      </c>
      <c r="BM12" s="48">
        <f t="shared" si="237"/>
        <v>0</v>
      </c>
      <c r="BN12" s="48">
        <f t="shared" si="237"/>
        <v>0</v>
      </c>
      <c r="BO12" s="48">
        <f t="shared" ref="BO12:CT12" si="238" xml:space="preserve"> _xlfn.SINGLE(CapEx)*(1-Debt_pct)</f>
        <v>0</v>
      </c>
      <c r="BP12" s="48">
        <f t="shared" si="238"/>
        <v>0</v>
      </c>
      <c r="BQ12" s="48">
        <f t="shared" si="238"/>
        <v>0</v>
      </c>
      <c r="BR12" s="48">
        <f t="shared" si="238"/>
        <v>0</v>
      </c>
      <c r="BS12" s="48">
        <f t="shared" si="238"/>
        <v>0</v>
      </c>
      <c r="BT12" s="48">
        <f t="shared" si="238"/>
        <v>0</v>
      </c>
      <c r="BU12" s="48">
        <f t="shared" si="238"/>
        <v>0</v>
      </c>
      <c r="BV12" s="48">
        <f t="shared" si="238"/>
        <v>0</v>
      </c>
      <c r="BW12" s="48">
        <f t="shared" si="238"/>
        <v>0</v>
      </c>
      <c r="BX12" s="48">
        <f t="shared" si="238"/>
        <v>0</v>
      </c>
      <c r="BY12" s="48">
        <f t="shared" si="238"/>
        <v>0</v>
      </c>
      <c r="BZ12" s="48">
        <f t="shared" si="238"/>
        <v>0</v>
      </c>
      <c r="CA12" s="48">
        <f t="shared" si="238"/>
        <v>0</v>
      </c>
      <c r="CB12" s="48">
        <f t="shared" si="238"/>
        <v>0</v>
      </c>
      <c r="CC12" s="48">
        <f t="shared" si="238"/>
        <v>0</v>
      </c>
      <c r="CD12" s="48">
        <f t="shared" si="238"/>
        <v>0</v>
      </c>
      <c r="CE12" s="48">
        <f t="shared" si="238"/>
        <v>0</v>
      </c>
      <c r="CF12" s="48">
        <f t="shared" si="238"/>
        <v>0</v>
      </c>
      <c r="CG12" s="48">
        <f t="shared" si="238"/>
        <v>0</v>
      </c>
      <c r="CH12" s="48">
        <f t="shared" si="238"/>
        <v>0</v>
      </c>
      <c r="CI12" s="48">
        <f t="shared" si="238"/>
        <v>0</v>
      </c>
      <c r="CJ12" s="48">
        <f t="shared" si="238"/>
        <v>0</v>
      </c>
      <c r="CK12" s="48">
        <f t="shared" si="238"/>
        <v>0</v>
      </c>
      <c r="CL12" s="48">
        <f t="shared" si="238"/>
        <v>0</v>
      </c>
      <c r="CM12" s="48">
        <f t="shared" si="238"/>
        <v>0</v>
      </c>
      <c r="CN12" s="48">
        <f t="shared" si="238"/>
        <v>0</v>
      </c>
      <c r="CO12" s="48">
        <f t="shared" si="238"/>
        <v>0</v>
      </c>
      <c r="CP12" s="48">
        <f t="shared" si="238"/>
        <v>0</v>
      </c>
      <c r="CQ12" s="48">
        <f t="shared" si="238"/>
        <v>0</v>
      </c>
      <c r="CR12" s="48">
        <f t="shared" si="238"/>
        <v>0</v>
      </c>
      <c r="CS12" s="48">
        <f t="shared" si="238"/>
        <v>0</v>
      </c>
      <c r="CT12" s="48">
        <f t="shared" si="238"/>
        <v>0</v>
      </c>
      <c r="CU12" s="48">
        <f t="shared" ref="CU12:DS12" si="239" xml:space="preserve"> _xlfn.SINGLE(CapEx)*(1-Debt_pct)</f>
        <v>0</v>
      </c>
      <c r="CV12" s="48">
        <f t="shared" si="239"/>
        <v>0</v>
      </c>
      <c r="CW12" s="48">
        <f t="shared" si="239"/>
        <v>0</v>
      </c>
      <c r="CX12" s="48">
        <f t="shared" si="239"/>
        <v>0</v>
      </c>
      <c r="CY12" s="48">
        <f t="shared" si="239"/>
        <v>0</v>
      </c>
      <c r="CZ12" s="48">
        <f t="shared" si="239"/>
        <v>0</v>
      </c>
      <c r="DA12" s="48">
        <f t="shared" si="239"/>
        <v>0</v>
      </c>
      <c r="DB12" s="48">
        <f t="shared" si="239"/>
        <v>0</v>
      </c>
      <c r="DC12" s="48">
        <f t="shared" si="239"/>
        <v>0</v>
      </c>
      <c r="DD12" s="48">
        <f t="shared" si="239"/>
        <v>0</v>
      </c>
      <c r="DE12" s="48">
        <f t="shared" si="239"/>
        <v>0</v>
      </c>
      <c r="DF12" s="48">
        <f t="shared" si="239"/>
        <v>0</v>
      </c>
      <c r="DG12" s="48">
        <f t="shared" si="239"/>
        <v>0</v>
      </c>
      <c r="DH12" s="48">
        <f t="shared" si="239"/>
        <v>0</v>
      </c>
      <c r="DI12" s="48">
        <f t="shared" si="239"/>
        <v>0</v>
      </c>
      <c r="DJ12" s="48">
        <f t="shared" si="239"/>
        <v>0</v>
      </c>
      <c r="DK12" s="48">
        <f t="shared" si="239"/>
        <v>0</v>
      </c>
      <c r="DL12" s="48">
        <f t="shared" si="239"/>
        <v>0</v>
      </c>
      <c r="DM12" s="48">
        <f t="shared" si="239"/>
        <v>0</v>
      </c>
      <c r="DN12" s="48">
        <f t="shared" si="239"/>
        <v>0</v>
      </c>
      <c r="DO12" s="48">
        <f t="shared" si="239"/>
        <v>0</v>
      </c>
      <c r="DP12" s="48">
        <f t="shared" si="239"/>
        <v>0</v>
      </c>
      <c r="DQ12" s="48">
        <f t="shared" si="239"/>
        <v>0</v>
      </c>
      <c r="DR12" s="48">
        <f t="shared" si="239"/>
        <v>0</v>
      </c>
      <c r="DS12" s="48">
        <f t="shared" si="239"/>
        <v>0</v>
      </c>
    </row>
    <row r="13" spans="1:125" x14ac:dyDescent="0.35">
      <c r="A13" s="49"/>
      <c r="B13" s="49" t="s">
        <v>70</v>
      </c>
      <c r="C13" s="48">
        <f t="shared" ref="C13:BN13" si="240" xml:space="preserve"> _xlfn.SINGLE(CapEx)*-Debt_pct</f>
        <v>40000</v>
      </c>
      <c r="D13" s="48">
        <f t="shared" si="240"/>
        <v>24000</v>
      </c>
      <c r="E13" s="48">
        <f t="shared" si="240"/>
        <v>24000</v>
      </c>
      <c r="F13" s="48">
        <f t="shared" si="240"/>
        <v>24000</v>
      </c>
      <c r="G13" s="48">
        <f t="shared" si="240"/>
        <v>24000</v>
      </c>
      <c r="H13" s="48">
        <f t="shared" si="240"/>
        <v>24000</v>
      </c>
      <c r="I13" s="48">
        <f t="shared" si="240"/>
        <v>84000</v>
      </c>
      <c r="J13" s="48">
        <f t="shared" si="240"/>
        <v>24000</v>
      </c>
      <c r="K13" s="48">
        <f t="shared" si="240"/>
        <v>24000</v>
      </c>
      <c r="L13" s="48">
        <f t="shared" si="240"/>
        <v>24000</v>
      </c>
      <c r="M13" s="48">
        <f t="shared" si="240"/>
        <v>24000</v>
      </c>
      <c r="N13" s="48">
        <f t="shared" si="240"/>
        <v>24000</v>
      </c>
      <c r="O13" s="48">
        <f t="shared" si="240"/>
        <v>84000</v>
      </c>
      <c r="P13" s="48">
        <f t="shared" si="240"/>
        <v>0</v>
      </c>
      <c r="Q13" s="48">
        <f t="shared" si="240"/>
        <v>0</v>
      </c>
      <c r="R13" s="48">
        <f t="shared" si="240"/>
        <v>0</v>
      </c>
      <c r="S13" s="48">
        <f t="shared" si="240"/>
        <v>0</v>
      </c>
      <c r="T13" s="48">
        <f t="shared" si="240"/>
        <v>0</v>
      </c>
      <c r="U13" s="48">
        <f t="shared" si="240"/>
        <v>0</v>
      </c>
      <c r="V13" s="48">
        <f t="shared" si="240"/>
        <v>0</v>
      </c>
      <c r="W13" s="48">
        <f t="shared" si="240"/>
        <v>0</v>
      </c>
      <c r="X13" s="48">
        <f t="shared" si="240"/>
        <v>0</v>
      </c>
      <c r="Y13" s="48">
        <f t="shared" si="240"/>
        <v>0</v>
      </c>
      <c r="Z13" s="48">
        <f t="shared" si="240"/>
        <v>0</v>
      </c>
      <c r="AA13" s="48">
        <f t="shared" si="240"/>
        <v>0</v>
      </c>
      <c r="AB13" s="48">
        <f t="shared" si="240"/>
        <v>0</v>
      </c>
      <c r="AC13" s="48">
        <f t="shared" si="240"/>
        <v>0</v>
      </c>
      <c r="AD13" s="48">
        <f t="shared" si="240"/>
        <v>0</v>
      </c>
      <c r="AE13" s="48">
        <f t="shared" si="240"/>
        <v>0</v>
      </c>
      <c r="AF13" s="48">
        <f t="shared" si="240"/>
        <v>0</v>
      </c>
      <c r="AG13" s="48">
        <f t="shared" si="240"/>
        <v>0</v>
      </c>
      <c r="AH13" s="48">
        <f t="shared" si="240"/>
        <v>0</v>
      </c>
      <c r="AI13" s="48">
        <f t="shared" si="240"/>
        <v>0</v>
      </c>
      <c r="AJ13" s="48">
        <f t="shared" si="240"/>
        <v>0</v>
      </c>
      <c r="AK13" s="48">
        <f t="shared" si="240"/>
        <v>0</v>
      </c>
      <c r="AL13" s="48">
        <f t="shared" si="240"/>
        <v>0</v>
      </c>
      <c r="AM13" s="48">
        <f t="shared" si="240"/>
        <v>0</v>
      </c>
      <c r="AN13" s="48">
        <f t="shared" si="240"/>
        <v>0</v>
      </c>
      <c r="AO13" s="48">
        <f t="shared" si="240"/>
        <v>0</v>
      </c>
      <c r="AP13" s="48">
        <f t="shared" si="240"/>
        <v>0</v>
      </c>
      <c r="AQ13" s="48">
        <f t="shared" si="240"/>
        <v>0</v>
      </c>
      <c r="AR13" s="48">
        <f t="shared" si="240"/>
        <v>0</v>
      </c>
      <c r="AS13" s="48">
        <f t="shared" si="240"/>
        <v>0</v>
      </c>
      <c r="AT13" s="48">
        <f t="shared" si="240"/>
        <v>0</v>
      </c>
      <c r="AU13" s="48">
        <f t="shared" si="240"/>
        <v>0</v>
      </c>
      <c r="AV13" s="48">
        <f t="shared" si="240"/>
        <v>0</v>
      </c>
      <c r="AW13" s="48">
        <f t="shared" si="240"/>
        <v>0</v>
      </c>
      <c r="AX13" s="48">
        <f t="shared" si="240"/>
        <v>0</v>
      </c>
      <c r="AY13" s="48">
        <f t="shared" si="240"/>
        <v>0</v>
      </c>
      <c r="AZ13" s="48">
        <f t="shared" si="240"/>
        <v>0</v>
      </c>
      <c r="BA13" s="48">
        <f t="shared" si="240"/>
        <v>0</v>
      </c>
      <c r="BB13" s="48">
        <f t="shared" si="240"/>
        <v>0</v>
      </c>
      <c r="BC13" s="48">
        <f t="shared" si="240"/>
        <v>0</v>
      </c>
      <c r="BD13" s="48">
        <f t="shared" si="240"/>
        <v>0</v>
      </c>
      <c r="BE13" s="48">
        <f t="shared" si="240"/>
        <v>0</v>
      </c>
      <c r="BF13" s="48">
        <f t="shared" si="240"/>
        <v>0</v>
      </c>
      <c r="BG13" s="48">
        <f t="shared" si="240"/>
        <v>0</v>
      </c>
      <c r="BH13" s="48">
        <f t="shared" si="240"/>
        <v>0</v>
      </c>
      <c r="BI13" s="48">
        <f t="shared" si="240"/>
        <v>0</v>
      </c>
      <c r="BJ13" s="48">
        <f t="shared" si="240"/>
        <v>0</v>
      </c>
      <c r="BK13" s="48">
        <f t="shared" si="240"/>
        <v>0</v>
      </c>
      <c r="BL13" s="48">
        <f t="shared" si="240"/>
        <v>0</v>
      </c>
      <c r="BM13" s="48">
        <f t="shared" si="240"/>
        <v>0</v>
      </c>
      <c r="BN13" s="48">
        <f t="shared" si="240"/>
        <v>0</v>
      </c>
      <c r="BO13" s="48">
        <f t="shared" ref="BO13:DS13" si="241" xml:space="preserve"> _xlfn.SINGLE(CapEx)*-Debt_pct</f>
        <v>0</v>
      </c>
      <c r="BP13" s="48">
        <f t="shared" si="241"/>
        <v>0</v>
      </c>
      <c r="BQ13" s="48">
        <f t="shared" si="241"/>
        <v>0</v>
      </c>
      <c r="BR13" s="48">
        <f t="shared" si="241"/>
        <v>0</v>
      </c>
      <c r="BS13" s="48">
        <f t="shared" si="241"/>
        <v>0</v>
      </c>
      <c r="BT13" s="48">
        <f t="shared" si="241"/>
        <v>0</v>
      </c>
      <c r="BU13" s="48">
        <f t="shared" si="241"/>
        <v>0</v>
      </c>
      <c r="BV13" s="48">
        <f t="shared" si="241"/>
        <v>0</v>
      </c>
      <c r="BW13" s="48">
        <f t="shared" si="241"/>
        <v>0</v>
      </c>
      <c r="BX13" s="48">
        <f t="shared" si="241"/>
        <v>0</v>
      </c>
      <c r="BY13" s="48">
        <f t="shared" si="241"/>
        <v>0</v>
      </c>
      <c r="BZ13" s="48">
        <f t="shared" si="241"/>
        <v>0</v>
      </c>
      <c r="CA13" s="48">
        <f t="shared" si="241"/>
        <v>0</v>
      </c>
      <c r="CB13" s="48">
        <f t="shared" si="241"/>
        <v>0</v>
      </c>
      <c r="CC13" s="48">
        <f t="shared" si="241"/>
        <v>0</v>
      </c>
      <c r="CD13" s="48">
        <f t="shared" si="241"/>
        <v>0</v>
      </c>
      <c r="CE13" s="48">
        <f t="shared" si="241"/>
        <v>0</v>
      </c>
      <c r="CF13" s="48">
        <f t="shared" si="241"/>
        <v>0</v>
      </c>
      <c r="CG13" s="48">
        <f t="shared" si="241"/>
        <v>0</v>
      </c>
      <c r="CH13" s="48">
        <f t="shared" si="241"/>
        <v>0</v>
      </c>
      <c r="CI13" s="48">
        <f t="shared" si="241"/>
        <v>0</v>
      </c>
      <c r="CJ13" s="48">
        <f t="shared" si="241"/>
        <v>0</v>
      </c>
      <c r="CK13" s="48">
        <f t="shared" si="241"/>
        <v>0</v>
      </c>
      <c r="CL13" s="48">
        <f t="shared" si="241"/>
        <v>0</v>
      </c>
      <c r="CM13" s="48">
        <f t="shared" si="241"/>
        <v>0</v>
      </c>
      <c r="CN13" s="48">
        <f t="shared" si="241"/>
        <v>0</v>
      </c>
      <c r="CO13" s="48">
        <f t="shared" si="241"/>
        <v>0</v>
      </c>
      <c r="CP13" s="48">
        <f t="shared" si="241"/>
        <v>0</v>
      </c>
      <c r="CQ13" s="48">
        <f t="shared" si="241"/>
        <v>0</v>
      </c>
      <c r="CR13" s="48">
        <f t="shared" si="241"/>
        <v>0</v>
      </c>
      <c r="CS13" s="48">
        <f t="shared" si="241"/>
        <v>0</v>
      </c>
      <c r="CT13" s="48">
        <f t="shared" si="241"/>
        <v>0</v>
      </c>
      <c r="CU13" s="48">
        <f t="shared" si="241"/>
        <v>0</v>
      </c>
      <c r="CV13" s="48">
        <f t="shared" si="241"/>
        <v>0</v>
      </c>
      <c r="CW13" s="48">
        <f t="shared" si="241"/>
        <v>0</v>
      </c>
      <c r="CX13" s="48">
        <f t="shared" si="241"/>
        <v>0</v>
      </c>
      <c r="CY13" s="48">
        <f t="shared" si="241"/>
        <v>0</v>
      </c>
      <c r="CZ13" s="48">
        <f t="shared" si="241"/>
        <v>0</v>
      </c>
      <c r="DA13" s="48">
        <f t="shared" si="241"/>
        <v>0</v>
      </c>
      <c r="DB13" s="48">
        <f t="shared" si="241"/>
        <v>0</v>
      </c>
      <c r="DC13" s="48">
        <f t="shared" si="241"/>
        <v>0</v>
      </c>
      <c r="DD13" s="48">
        <f t="shared" si="241"/>
        <v>0</v>
      </c>
      <c r="DE13" s="48">
        <f t="shared" si="241"/>
        <v>0</v>
      </c>
      <c r="DF13" s="48">
        <f t="shared" si="241"/>
        <v>0</v>
      </c>
      <c r="DG13" s="48">
        <f t="shared" si="241"/>
        <v>0</v>
      </c>
      <c r="DH13" s="48">
        <f t="shared" si="241"/>
        <v>0</v>
      </c>
      <c r="DI13" s="48">
        <f t="shared" si="241"/>
        <v>0</v>
      </c>
      <c r="DJ13" s="48">
        <f t="shared" si="241"/>
        <v>0</v>
      </c>
      <c r="DK13" s="48">
        <f t="shared" si="241"/>
        <v>0</v>
      </c>
      <c r="DL13" s="48">
        <f t="shared" si="241"/>
        <v>0</v>
      </c>
      <c r="DM13" s="48">
        <f t="shared" si="241"/>
        <v>0</v>
      </c>
      <c r="DN13" s="48">
        <f t="shared" si="241"/>
        <v>0</v>
      </c>
      <c r="DO13" s="48">
        <f t="shared" si="241"/>
        <v>0</v>
      </c>
      <c r="DP13" s="48">
        <f t="shared" si="241"/>
        <v>0</v>
      </c>
      <c r="DQ13" s="48">
        <f t="shared" si="241"/>
        <v>0</v>
      </c>
      <c r="DR13" s="48">
        <f t="shared" si="241"/>
        <v>0</v>
      </c>
      <c r="DS13" s="48">
        <f t="shared" si="241"/>
        <v>0</v>
      </c>
    </row>
    <row r="14" spans="1:125" x14ac:dyDescent="0.35">
      <c r="A14" s="49"/>
      <c r="B14" s="49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</row>
    <row r="15" spans="1:125" x14ac:dyDescent="0.35">
      <c r="A15" s="51"/>
      <c r="B15" s="51" t="s">
        <v>72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</row>
    <row r="16" spans="1:125" x14ac:dyDescent="0.35">
      <c r="A16" s="49"/>
      <c r="B16" s="49" t="s">
        <v>75</v>
      </c>
      <c r="C16" s="48">
        <f t="shared" ref="C16:BN16" ca="1" si="242" xml:space="preserve"> IF(_xlfn.SINGLE(Period_End) &lt; _xlfn.SINGLE(Interest_Start_Date), 0, OFFSET(_xlfn.SINGLE(period_ending_balance), 0, -1))</f>
        <v>0</v>
      </c>
      <c r="D16" s="48">
        <f t="shared" ca="1" si="242"/>
        <v>40000</v>
      </c>
      <c r="E16" s="48">
        <f t="shared" ca="1" si="242"/>
        <v>64000</v>
      </c>
      <c r="F16" s="48">
        <f t="shared" ca="1" si="242"/>
        <v>88000</v>
      </c>
      <c r="G16" s="48">
        <f t="shared" ca="1" si="242"/>
        <v>112000</v>
      </c>
      <c r="H16" s="48">
        <f t="shared" ca="1" si="242"/>
        <v>136000</v>
      </c>
      <c r="I16" s="48">
        <f t="shared" ca="1" si="242"/>
        <v>160000</v>
      </c>
      <c r="J16" s="48">
        <f t="shared" ca="1" si="242"/>
        <v>244000</v>
      </c>
      <c r="K16" s="48">
        <f t="shared" ca="1" si="242"/>
        <v>268000</v>
      </c>
      <c r="L16" s="48">
        <f t="shared" ca="1" si="242"/>
        <v>292000</v>
      </c>
      <c r="M16" s="48">
        <f t="shared" ca="1" si="242"/>
        <v>316000</v>
      </c>
      <c r="N16" s="48">
        <f t="shared" ca="1" si="242"/>
        <v>340000</v>
      </c>
      <c r="O16" s="48">
        <f t="shared" ca="1" si="242"/>
        <v>364000</v>
      </c>
      <c r="P16" s="48">
        <f t="shared" ca="1" si="242"/>
        <v>448000</v>
      </c>
      <c r="Q16" s="48">
        <f t="shared" ca="1" si="242"/>
        <v>443851.85185185185</v>
      </c>
      <c r="R16" s="48">
        <f t="shared" ca="1" si="242"/>
        <v>439703.70370370371</v>
      </c>
      <c r="S16" s="48">
        <f t="shared" ca="1" si="242"/>
        <v>435555.55555555556</v>
      </c>
      <c r="T16" s="48">
        <f t="shared" ca="1" si="242"/>
        <v>431407.40740740742</v>
      </c>
      <c r="U16" s="48">
        <f t="shared" ca="1" si="242"/>
        <v>427259.25925925927</v>
      </c>
      <c r="V16" s="48">
        <f t="shared" ca="1" si="242"/>
        <v>423111.11111111112</v>
      </c>
      <c r="W16" s="48">
        <f t="shared" ca="1" si="242"/>
        <v>418962.96296296298</v>
      </c>
      <c r="X16" s="48">
        <f t="shared" ca="1" si="242"/>
        <v>414814.81481481483</v>
      </c>
      <c r="Y16" s="48">
        <f t="shared" ca="1" si="242"/>
        <v>410666.66666666669</v>
      </c>
      <c r="Z16" s="48">
        <f t="shared" ca="1" si="242"/>
        <v>406518.51851851854</v>
      </c>
      <c r="AA16" s="48">
        <f t="shared" ca="1" si="242"/>
        <v>402370.37037037039</v>
      </c>
      <c r="AB16" s="48">
        <f t="shared" ca="1" si="242"/>
        <v>398222.22222222225</v>
      </c>
      <c r="AC16" s="48">
        <f t="shared" ca="1" si="242"/>
        <v>394074.0740740741</v>
      </c>
      <c r="AD16" s="48">
        <f t="shared" ca="1" si="242"/>
        <v>389925.92592592596</v>
      </c>
      <c r="AE16" s="48">
        <f t="shared" ca="1" si="242"/>
        <v>385777.77777777781</v>
      </c>
      <c r="AF16" s="48">
        <f t="shared" ca="1" si="242"/>
        <v>381629.62962962966</v>
      </c>
      <c r="AG16" s="48">
        <f t="shared" ca="1" si="242"/>
        <v>377481.48148148152</v>
      </c>
      <c r="AH16" s="48">
        <f t="shared" ca="1" si="242"/>
        <v>373333.33333333337</v>
      </c>
      <c r="AI16" s="48">
        <f t="shared" ca="1" si="242"/>
        <v>369185.18518518523</v>
      </c>
      <c r="AJ16" s="48">
        <f t="shared" ca="1" si="242"/>
        <v>365037.03703703708</v>
      </c>
      <c r="AK16" s="48">
        <f t="shared" ca="1" si="242"/>
        <v>360888.88888888893</v>
      </c>
      <c r="AL16" s="48">
        <f t="shared" ca="1" si="242"/>
        <v>356740.74074074079</v>
      </c>
      <c r="AM16" s="48">
        <f t="shared" ca="1" si="242"/>
        <v>352592.59259259264</v>
      </c>
      <c r="AN16" s="48">
        <f t="shared" ca="1" si="242"/>
        <v>348444.4444444445</v>
      </c>
      <c r="AO16" s="48">
        <f t="shared" ca="1" si="242"/>
        <v>344296.29629629635</v>
      </c>
      <c r="AP16" s="48">
        <f t="shared" ca="1" si="242"/>
        <v>340148.1481481482</v>
      </c>
      <c r="AQ16" s="48">
        <f t="shared" ca="1" si="242"/>
        <v>336000.00000000006</v>
      </c>
      <c r="AR16" s="48">
        <f t="shared" ca="1" si="242"/>
        <v>331851.85185185191</v>
      </c>
      <c r="AS16" s="48">
        <f t="shared" ca="1" si="242"/>
        <v>327703.70370370377</v>
      </c>
      <c r="AT16" s="48">
        <f t="shared" ca="1" si="242"/>
        <v>323555.55555555562</v>
      </c>
      <c r="AU16" s="48">
        <f t="shared" ca="1" si="242"/>
        <v>319407.40740740747</v>
      </c>
      <c r="AV16" s="48">
        <f t="shared" ca="1" si="242"/>
        <v>315259.25925925933</v>
      </c>
      <c r="AW16" s="48">
        <f t="shared" ca="1" si="242"/>
        <v>311111.11111111118</v>
      </c>
      <c r="AX16" s="48">
        <f t="shared" ca="1" si="242"/>
        <v>306962.96296296304</v>
      </c>
      <c r="AY16" s="48">
        <f t="shared" ca="1" si="242"/>
        <v>302814.81481481489</v>
      </c>
      <c r="AZ16" s="48">
        <f t="shared" ca="1" si="242"/>
        <v>298666.66666666674</v>
      </c>
      <c r="BA16" s="48">
        <f t="shared" ca="1" si="242"/>
        <v>294518.5185185186</v>
      </c>
      <c r="BB16" s="48">
        <f t="shared" ca="1" si="242"/>
        <v>290370.37037037045</v>
      </c>
      <c r="BC16" s="48">
        <f t="shared" ca="1" si="242"/>
        <v>286222.22222222231</v>
      </c>
      <c r="BD16" s="48">
        <f t="shared" ca="1" si="242"/>
        <v>282074.07407407416</v>
      </c>
      <c r="BE16" s="48">
        <f t="shared" ca="1" si="242"/>
        <v>277925.92592592601</v>
      </c>
      <c r="BF16" s="48">
        <f t="shared" ca="1" si="242"/>
        <v>273777.77777777787</v>
      </c>
      <c r="BG16" s="48">
        <f t="shared" ca="1" si="242"/>
        <v>269629.62962962972</v>
      </c>
      <c r="BH16" s="48">
        <f t="shared" ca="1" si="242"/>
        <v>265481.48148148158</v>
      </c>
      <c r="BI16" s="48">
        <f t="shared" ca="1" si="242"/>
        <v>261333.33333333343</v>
      </c>
      <c r="BJ16" s="48">
        <f t="shared" ca="1" si="242"/>
        <v>257185.18518518528</v>
      </c>
      <c r="BK16" s="48">
        <f t="shared" ca="1" si="242"/>
        <v>253037.03703703714</v>
      </c>
      <c r="BL16" s="48">
        <f t="shared" ca="1" si="242"/>
        <v>248888.88888888899</v>
      </c>
      <c r="BM16" s="48">
        <f t="shared" ca="1" si="242"/>
        <v>244740.74074074085</v>
      </c>
      <c r="BN16" s="48">
        <f t="shared" ca="1" si="242"/>
        <v>240592.5925925927</v>
      </c>
      <c r="BO16" s="48">
        <f t="shared" ref="BO16:DS16" ca="1" si="243" xml:space="preserve"> IF(_xlfn.SINGLE(Period_End) &lt; _xlfn.SINGLE(Interest_Start_Date), 0, OFFSET(_xlfn.SINGLE(period_ending_balance), 0, -1))</f>
        <v>236444.44444444455</v>
      </c>
      <c r="BP16" s="48">
        <f t="shared" ca="1" si="243"/>
        <v>232296.29629629641</v>
      </c>
      <c r="BQ16" s="48">
        <f t="shared" ca="1" si="243"/>
        <v>228148.14814814826</v>
      </c>
      <c r="BR16" s="48">
        <f t="shared" ca="1" si="243"/>
        <v>224000.00000000012</v>
      </c>
      <c r="BS16" s="48">
        <f t="shared" ca="1" si="243"/>
        <v>219851.85185185197</v>
      </c>
      <c r="BT16" s="48">
        <f t="shared" ca="1" si="243"/>
        <v>215703.70370370382</v>
      </c>
      <c r="BU16" s="48">
        <f t="shared" ca="1" si="243"/>
        <v>211555.55555555568</v>
      </c>
      <c r="BV16" s="48">
        <f t="shared" ca="1" si="243"/>
        <v>207407.40740740753</v>
      </c>
      <c r="BW16" s="48">
        <f t="shared" ca="1" si="243"/>
        <v>203259.25925925939</v>
      </c>
      <c r="BX16" s="48">
        <f t="shared" ca="1" si="243"/>
        <v>199111.11111111124</v>
      </c>
      <c r="BY16" s="48">
        <f t="shared" ca="1" si="243"/>
        <v>194962.96296296309</v>
      </c>
      <c r="BZ16" s="48">
        <f t="shared" ca="1" si="243"/>
        <v>190814.81481481495</v>
      </c>
      <c r="CA16" s="48">
        <f t="shared" ca="1" si="243"/>
        <v>186666.6666666668</v>
      </c>
      <c r="CB16" s="48">
        <f t="shared" ca="1" si="243"/>
        <v>182518.51851851866</v>
      </c>
      <c r="CC16" s="48">
        <f t="shared" ca="1" si="243"/>
        <v>178370.37037037051</v>
      </c>
      <c r="CD16" s="48">
        <f t="shared" ca="1" si="243"/>
        <v>174222.22222222236</v>
      </c>
      <c r="CE16" s="48">
        <f t="shared" ca="1" si="243"/>
        <v>170074.07407407422</v>
      </c>
      <c r="CF16" s="48">
        <f t="shared" ca="1" si="243"/>
        <v>165925.92592592607</v>
      </c>
      <c r="CG16" s="48">
        <f t="shared" ca="1" si="243"/>
        <v>161777.77777777793</v>
      </c>
      <c r="CH16" s="48">
        <f t="shared" ca="1" si="243"/>
        <v>157629.62962962978</v>
      </c>
      <c r="CI16" s="48">
        <f t="shared" ca="1" si="243"/>
        <v>153481.48148148163</v>
      </c>
      <c r="CJ16" s="48">
        <f t="shared" ca="1" si="243"/>
        <v>149333.33333333349</v>
      </c>
      <c r="CK16" s="48">
        <f t="shared" ca="1" si="243"/>
        <v>145185.18518518534</v>
      </c>
      <c r="CL16" s="48">
        <f t="shared" ca="1" si="243"/>
        <v>141037.0370370372</v>
      </c>
      <c r="CM16" s="48">
        <f t="shared" ca="1" si="243"/>
        <v>136888.88888888905</v>
      </c>
      <c r="CN16" s="48">
        <f t="shared" ca="1" si="243"/>
        <v>132740.7407407409</v>
      </c>
      <c r="CO16" s="48">
        <f t="shared" ca="1" si="243"/>
        <v>128592.59259259276</v>
      </c>
      <c r="CP16" s="48">
        <f t="shared" ca="1" si="243"/>
        <v>124444.44444444461</v>
      </c>
      <c r="CQ16" s="48">
        <f t="shared" ca="1" si="243"/>
        <v>120296.29629629647</v>
      </c>
      <c r="CR16" s="48">
        <f t="shared" ca="1" si="243"/>
        <v>116148.14814814832</v>
      </c>
      <c r="CS16" s="48">
        <f t="shared" ca="1" si="243"/>
        <v>112000.00000000017</v>
      </c>
      <c r="CT16" s="48">
        <f t="shared" ca="1" si="243"/>
        <v>107851.85185185203</v>
      </c>
      <c r="CU16" s="48">
        <f t="shared" ca="1" si="243"/>
        <v>103703.70370370388</v>
      </c>
      <c r="CV16" s="48">
        <f t="shared" ca="1" si="243"/>
        <v>99555.555555555737</v>
      </c>
      <c r="CW16" s="48">
        <f t="shared" ca="1" si="243"/>
        <v>95407.407407407591</v>
      </c>
      <c r="CX16" s="48">
        <f t="shared" ca="1" si="243"/>
        <v>91259.259259259445</v>
      </c>
      <c r="CY16" s="48">
        <f t="shared" ca="1" si="243"/>
        <v>87111.111111111299</v>
      </c>
      <c r="CZ16" s="48">
        <f t="shared" ca="1" si="243"/>
        <v>82962.962962963153</v>
      </c>
      <c r="DA16" s="48">
        <f t="shared" ca="1" si="243"/>
        <v>78814.814814815007</v>
      </c>
      <c r="DB16" s="48">
        <f t="shared" ca="1" si="243"/>
        <v>74666.666666666861</v>
      </c>
      <c r="DC16" s="48">
        <f t="shared" ca="1" si="243"/>
        <v>70518.518518518715</v>
      </c>
      <c r="DD16" s="48">
        <f t="shared" ca="1" si="243"/>
        <v>66370.370370370569</v>
      </c>
      <c r="DE16" s="48">
        <f t="shared" ca="1" si="243"/>
        <v>62222.222222222423</v>
      </c>
      <c r="DF16" s="48">
        <f t="shared" ca="1" si="243"/>
        <v>58074.074074074277</v>
      </c>
      <c r="DG16" s="48">
        <f t="shared" ca="1" si="243"/>
        <v>53925.925925926131</v>
      </c>
      <c r="DH16" s="48">
        <f t="shared" ca="1" si="243"/>
        <v>49777.777777777985</v>
      </c>
      <c r="DI16" s="48">
        <f t="shared" ca="1" si="243"/>
        <v>45629.629629629839</v>
      </c>
      <c r="DJ16" s="48">
        <f t="shared" ca="1" si="243"/>
        <v>41481.481481481693</v>
      </c>
      <c r="DK16" s="48">
        <f t="shared" ca="1" si="243"/>
        <v>37333.333333333547</v>
      </c>
      <c r="DL16" s="48">
        <f t="shared" ca="1" si="243"/>
        <v>33185.185185185401</v>
      </c>
      <c r="DM16" s="48">
        <f t="shared" ca="1" si="243"/>
        <v>29037.037037037255</v>
      </c>
      <c r="DN16" s="48">
        <f t="shared" ca="1" si="243"/>
        <v>24888.888888889109</v>
      </c>
      <c r="DO16" s="48">
        <f t="shared" ca="1" si="243"/>
        <v>20740.740740740963</v>
      </c>
      <c r="DP16" s="48">
        <f t="shared" ca="1" si="243"/>
        <v>16592.592592592817</v>
      </c>
      <c r="DQ16" s="48">
        <f t="shared" ca="1" si="243"/>
        <v>12444.444444444669</v>
      </c>
      <c r="DR16" s="48">
        <f t="shared" ca="1" si="243"/>
        <v>8296.2962962965212</v>
      </c>
      <c r="DS16" s="48">
        <f t="shared" ca="1" si="243"/>
        <v>4148.1481481483734</v>
      </c>
    </row>
    <row r="17" spans="1:123" x14ac:dyDescent="0.35">
      <c r="A17" s="49"/>
      <c r="B17" s="49" t="s">
        <v>70</v>
      </c>
      <c r="C17" s="48">
        <f t="shared" ref="C17:BN17" si="244" xml:space="preserve"> _xlfn.SINGLE(loan_draw)</f>
        <v>40000</v>
      </c>
      <c r="D17" s="48">
        <f t="shared" si="244"/>
        <v>24000</v>
      </c>
      <c r="E17" s="48">
        <f t="shared" si="244"/>
        <v>24000</v>
      </c>
      <c r="F17" s="48">
        <f t="shared" si="244"/>
        <v>24000</v>
      </c>
      <c r="G17" s="48">
        <f t="shared" si="244"/>
        <v>24000</v>
      </c>
      <c r="H17" s="48">
        <f t="shared" si="244"/>
        <v>24000</v>
      </c>
      <c r="I17" s="48">
        <f t="shared" si="244"/>
        <v>84000</v>
      </c>
      <c r="J17" s="48">
        <f t="shared" si="244"/>
        <v>24000</v>
      </c>
      <c r="K17" s="48">
        <f t="shared" si="244"/>
        <v>24000</v>
      </c>
      <c r="L17" s="48">
        <f t="shared" si="244"/>
        <v>24000</v>
      </c>
      <c r="M17" s="48">
        <f t="shared" si="244"/>
        <v>24000</v>
      </c>
      <c r="N17" s="48">
        <f t="shared" si="244"/>
        <v>24000</v>
      </c>
      <c r="O17" s="48">
        <f t="shared" si="244"/>
        <v>84000</v>
      </c>
      <c r="P17" s="48">
        <f t="shared" si="244"/>
        <v>0</v>
      </c>
      <c r="Q17" s="48">
        <f t="shared" si="244"/>
        <v>0</v>
      </c>
      <c r="R17" s="48">
        <f t="shared" si="244"/>
        <v>0</v>
      </c>
      <c r="S17" s="48">
        <f t="shared" si="244"/>
        <v>0</v>
      </c>
      <c r="T17" s="48">
        <f t="shared" si="244"/>
        <v>0</v>
      </c>
      <c r="U17" s="48">
        <f t="shared" si="244"/>
        <v>0</v>
      </c>
      <c r="V17" s="48">
        <f t="shared" si="244"/>
        <v>0</v>
      </c>
      <c r="W17" s="48">
        <f t="shared" si="244"/>
        <v>0</v>
      </c>
      <c r="X17" s="48">
        <f t="shared" si="244"/>
        <v>0</v>
      </c>
      <c r="Y17" s="48">
        <f t="shared" si="244"/>
        <v>0</v>
      </c>
      <c r="Z17" s="48">
        <f t="shared" si="244"/>
        <v>0</v>
      </c>
      <c r="AA17" s="48">
        <f t="shared" si="244"/>
        <v>0</v>
      </c>
      <c r="AB17" s="48">
        <f t="shared" si="244"/>
        <v>0</v>
      </c>
      <c r="AC17" s="48">
        <f t="shared" si="244"/>
        <v>0</v>
      </c>
      <c r="AD17" s="48">
        <f t="shared" si="244"/>
        <v>0</v>
      </c>
      <c r="AE17" s="48">
        <f t="shared" si="244"/>
        <v>0</v>
      </c>
      <c r="AF17" s="48">
        <f t="shared" si="244"/>
        <v>0</v>
      </c>
      <c r="AG17" s="48">
        <f t="shared" si="244"/>
        <v>0</v>
      </c>
      <c r="AH17" s="48">
        <f t="shared" si="244"/>
        <v>0</v>
      </c>
      <c r="AI17" s="48">
        <f t="shared" si="244"/>
        <v>0</v>
      </c>
      <c r="AJ17" s="48">
        <f t="shared" si="244"/>
        <v>0</v>
      </c>
      <c r="AK17" s="48">
        <f t="shared" si="244"/>
        <v>0</v>
      </c>
      <c r="AL17" s="48">
        <f t="shared" si="244"/>
        <v>0</v>
      </c>
      <c r="AM17" s="48">
        <f t="shared" si="244"/>
        <v>0</v>
      </c>
      <c r="AN17" s="48">
        <f t="shared" si="244"/>
        <v>0</v>
      </c>
      <c r="AO17" s="48">
        <f t="shared" si="244"/>
        <v>0</v>
      </c>
      <c r="AP17" s="48">
        <f t="shared" si="244"/>
        <v>0</v>
      </c>
      <c r="AQ17" s="48">
        <f t="shared" si="244"/>
        <v>0</v>
      </c>
      <c r="AR17" s="48">
        <f t="shared" si="244"/>
        <v>0</v>
      </c>
      <c r="AS17" s="48">
        <f t="shared" si="244"/>
        <v>0</v>
      </c>
      <c r="AT17" s="48">
        <f t="shared" si="244"/>
        <v>0</v>
      </c>
      <c r="AU17" s="48">
        <f t="shared" si="244"/>
        <v>0</v>
      </c>
      <c r="AV17" s="48">
        <f t="shared" si="244"/>
        <v>0</v>
      </c>
      <c r="AW17" s="48">
        <f t="shared" si="244"/>
        <v>0</v>
      </c>
      <c r="AX17" s="48">
        <f t="shared" si="244"/>
        <v>0</v>
      </c>
      <c r="AY17" s="48">
        <f t="shared" si="244"/>
        <v>0</v>
      </c>
      <c r="AZ17" s="48">
        <f t="shared" si="244"/>
        <v>0</v>
      </c>
      <c r="BA17" s="48">
        <f t="shared" si="244"/>
        <v>0</v>
      </c>
      <c r="BB17" s="48">
        <f t="shared" si="244"/>
        <v>0</v>
      </c>
      <c r="BC17" s="48">
        <f t="shared" si="244"/>
        <v>0</v>
      </c>
      <c r="BD17" s="48">
        <f t="shared" si="244"/>
        <v>0</v>
      </c>
      <c r="BE17" s="48">
        <f t="shared" si="244"/>
        <v>0</v>
      </c>
      <c r="BF17" s="48">
        <f t="shared" si="244"/>
        <v>0</v>
      </c>
      <c r="BG17" s="48">
        <f t="shared" si="244"/>
        <v>0</v>
      </c>
      <c r="BH17" s="48">
        <f t="shared" si="244"/>
        <v>0</v>
      </c>
      <c r="BI17" s="48">
        <f t="shared" si="244"/>
        <v>0</v>
      </c>
      <c r="BJ17" s="48">
        <f t="shared" si="244"/>
        <v>0</v>
      </c>
      <c r="BK17" s="48">
        <f t="shared" si="244"/>
        <v>0</v>
      </c>
      <c r="BL17" s="48">
        <f t="shared" si="244"/>
        <v>0</v>
      </c>
      <c r="BM17" s="48">
        <f t="shared" si="244"/>
        <v>0</v>
      </c>
      <c r="BN17" s="48">
        <f t="shared" si="244"/>
        <v>0</v>
      </c>
      <c r="BO17" s="48">
        <f t="shared" ref="BO17:DS17" si="245" xml:space="preserve"> _xlfn.SINGLE(loan_draw)</f>
        <v>0</v>
      </c>
      <c r="BP17" s="48">
        <f t="shared" si="245"/>
        <v>0</v>
      </c>
      <c r="BQ17" s="48">
        <f t="shared" si="245"/>
        <v>0</v>
      </c>
      <c r="BR17" s="48">
        <f t="shared" si="245"/>
        <v>0</v>
      </c>
      <c r="BS17" s="48">
        <f t="shared" si="245"/>
        <v>0</v>
      </c>
      <c r="BT17" s="48">
        <f t="shared" si="245"/>
        <v>0</v>
      </c>
      <c r="BU17" s="48">
        <f t="shared" si="245"/>
        <v>0</v>
      </c>
      <c r="BV17" s="48">
        <f t="shared" si="245"/>
        <v>0</v>
      </c>
      <c r="BW17" s="48">
        <f t="shared" si="245"/>
        <v>0</v>
      </c>
      <c r="BX17" s="48">
        <f t="shared" si="245"/>
        <v>0</v>
      </c>
      <c r="BY17" s="48">
        <f t="shared" si="245"/>
        <v>0</v>
      </c>
      <c r="BZ17" s="48">
        <f t="shared" si="245"/>
        <v>0</v>
      </c>
      <c r="CA17" s="48">
        <f t="shared" si="245"/>
        <v>0</v>
      </c>
      <c r="CB17" s="48">
        <f t="shared" si="245"/>
        <v>0</v>
      </c>
      <c r="CC17" s="48">
        <f t="shared" si="245"/>
        <v>0</v>
      </c>
      <c r="CD17" s="48">
        <f t="shared" si="245"/>
        <v>0</v>
      </c>
      <c r="CE17" s="48">
        <f t="shared" si="245"/>
        <v>0</v>
      </c>
      <c r="CF17" s="48">
        <f t="shared" si="245"/>
        <v>0</v>
      </c>
      <c r="CG17" s="48">
        <f t="shared" si="245"/>
        <v>0</v>
      </c>
      <c r="CH17" s="48">
        <f t="shared" si="245"/>
        <v>0</v>
      </c>
      <c r="CI17" s="48">
        <f t="shared" si="245"/>
        <v>0</v>
      </c>
      <c r="CJ17" s="48">
        <f t="shared" si="245"/>
        <v>0</v>
      </c>
      <c r="CK17" s="48">
        <f t="shared" si="245"/>
        <v>0</v>
      </c>
      <c r="CL17" s="48">
        <f t="shared" si="245"/>
        <v>0</v>
      </c>
      <c r="CM17" s="48">
        <f t="shared" si="245"/>
        <v>0</v>
      </c>
      <c r="CN17" s="48">
        <f t="shared" si="245"/>
        <v>0</v>
      </c>
      <c r="CO17" s="48">
        <f t="shared" si="245"/>
        <v>0</v>
      </c>
      <c r="CP17" s="48">
        <f t="shared" si="245"/>
        <v>0</v>
      </c>
      <c r="CQ17" s="48">
        <f t="shared" si="245"/>
        <v>0</v>
      </c>
      <c r="CR17" s="48">
        <f t="shared" si="245"/>
        <v>0</v>
      </c>
      <c r="CS17" s="48">
        <f t="shared" si="245"/>
        <v>0</v>
      </c>
      <c r="CT17" s="48">
        <f t="shared" si="245"/>
        <v>0</v>
      </c>
      <c r="CU17" s="48">
        <f t="shared" si="245"/>
        <v>0</v>
      </c>
      <c r="CV17" s="48">
        <f t="shared" si="245"/>
        <v>0</v>
      </c>
      <c r="CW17" s="48">
        <f t="shared" si="245"/>
        <v>0</v>
      </c>
      <c r="CX17" s="48">
        <f t="shared" si="245"/>
        <v>0</v>
      </c>
      <c r="CY17" s="48">
        <f t="shared" si="245"/>
        <v>0</v>
      </c>
      <c r="CZ17" s="48">
        <f t="shared" si="245"/>
        <v>0</v>
      </c>
      <c r="DA17" s="48">
        <f t="shared" si="245"/>
        <v>0</v>
      </c>
      <c r="DB17" s="48">
        <f t="shared" si="245"/>
        <v>0</v>
      </c>
      <c r="DC17" s="48">
        <f t="shared" si="245"/>
        <v>0</v>
      </c>
      <c r="DD17" s="48">
        <f t="shared" si="245"/>
        <v>0</v>
      </c>
      <c r="DE17" s="48">
        <f t="shared" si="245"/>
        <v>0</v>
      </c>
      <c r="DF17" s="48">
        <f t="shared" si="245"/>
        <v>0</v>
      </c>
      <c r="DG17" s="48">
        <f t="shared" si="245"/>
        <v>0</v>
      </c>
      <c r="DH17" s="48">
        <f t="shared" si="245"/>
        <v>0</v>
      </c>
      <c r="DI17" s="48">
        <f t="shared" si="245"/>
        <v>0</v>
      </c>
      <c r="DJ17" s="48">
        <f t="shared" si="245"/>
        <v>0</v>
      </c>
      <c r="DK17" s="48">
        <f t="shared" si="245"/>
        <v>0</v>
      </c>
      <c r="DL17" s="48">
        <f t="shared" si="245"/>
        <v>0</v>
      </c>
      <c r="DM17" s="48">
        <f t="shared" si="245"/>
        <v>0</v>
      </c>
      <c r="DN17" s="48">
        <f t="shared" si="245"/>
        <v>0</v>
      </c>
      <c r="DO17" s="48">
        <f t="shared" si="245"/>
        <v>0</v>
      </c>
      <c r="DP17" s="48">
        <f t="shared" si="245"/>
        <v>0</v>
      </c>
      <c r="DQ17" s="48">
        <f t="shared" si="245"/>
        <v>0</v>
      </c>
      <c r="DR17" s="48">
        <f t="shared" si="245"/>
        <v>0</v>
      </c>
      <c r="DS17" s="48">
        <f t="shared" si="245"/>
        <v>0</v>
      </c>
    </row>
    <row r="18" spans="1:123" x14ac:dyDescent="0.35">
      <c r="A18" s="49"/>
      <c r="B18" s="49" t="s">
        <v>83</v>
      </c>
      <c r="C18" s="48">
        <f t="shared" ref="C18:BN18" si="246" xml:space="preserve"> IF(_xlfn.SINGLE(Period_End)&gt;= Interest_Start_Date, _xlfn.SINGLE(period_starting_balance)*(_xlfn.SINGLE(Period_End)-_xlfn.SINGLE(period_start)+1)/365*-i_rate, 0)</f>
        <v>0</v>
      </c>
      <c r="D18" s="48">
        <f t="shared" ca="1" si="246"/>
        <v>-101.91780821917807</v>
      </c>
      <c r="E18" s="48">
        <f t="shared" ca="1" si="246"/>
        <v>-147.2876712328767</v>
      </c>
      <c r="F18" s="48">
        <f t="shared" ca="1" si="246"/>
        <v>-224.21917808219177</v>
      </c>
      <c r="G18" s="48">
        <f t="shared" ca="1" si="246"/>
        <v>-276.16438356164383</v>
      </c>
      <c r="H18" s="48">
        <f t="shared" ca="1" si="246"/>
        <v>-346.52054794520546</v>
      </c>
      <c r="I18" s="48">
        <f t="shared" ca="1" si="246"/>
        <v>-394.52054794520546</v>
      </c>
      <c r="J18" s="48">
        <f t="shared" ca="1" si="246"/>
        <v>-621.69863013698625</v>
      </c>
      <c r="K18" s="48">
        <f t="shared" ca="1" si="246"/>
        <v>-682.84931506849318</v>
      </c>
      <c r="L18" s="48">
        <f t="shared" ca="1" si="246"/>
        <v>-720</v>
      </c>
      <c r="M18" s="48">
        <f t="shared" ca="1" si="246"/>
        <v>-805.15068493150682</v>
      </c>
      <c r="N18" s="48">
        <f t="shared" ca="1" si="246"/>
        <v>-838.35616438356158</v>
      </c>
      <c r="O18" s="48">
        <f t="shared" ca="1" si="246"/>
        <v>-927.45205479452045</v>
      </c>
      <c r="P18" s="48">
        <f t="shared" ca="1" si="246"/>
        <v>-1141.4794520547946</v>
      </c>
      <c r="Q18" s="48">
        <f t="shared" ca="1" si="246"/>
        <v>-1021.4672754946728</v>
      </c>
      <c r="R18" s="48">
        <f t="shared" ca="1" si="246"/>
        <v>-1120.3409436834095</v>
      </c>
      <c r="S18" s="48">
        <f t="shared" ca="1" si="246"/>
        <v>-1073.972602739726</v>
      </c>
      <c r="T18" s="48">
        <f t="shared" ca="1" si="246"/>
        <v>-1099.2024353120246</v>
      </c>
      <c r="U18" s="48">
        <f t="shared" ca="1" si="246"/>
        <v>-1053.5159817351596</v>
      </c>
      <c r="V18" s="48">
        <f t="shared" ca="1" si="246"/>
        <v>-1078.0639269406392</v>
      </c>
      <c r="W18" s="48">
        <f t="shared" ca="1" si="246"/>
        <v>-1067.4946727549468</v>
      </c>
      <c r="X18" s="48">
        <f t="shared" ca="1" si="246"/>
        <v>-1022.8310502283106</v>
      </c>
      <c r="Y18" s="48">
        <f t="shared" ca="1" si="246"/>
        <v>-1046.3561643835619</v>
      </c>
      <c r="Z18" s="48">
        <f t="shared" ca="1" si="246"/>
        <v>-1002.3744292237443</v>
      </c>
      <c r="AA18" s="48">
        <f t="shared" ca="1" si="246"/>
        <v>-1025.2176560121766</v>
      </c>
      <c r="AB18" s="48">
        <f t="shared" ca="1" si="246"/>
        <v>-1014.6484018264841</v>
      </c>
      <c r="AC18" s="48">
        <f t="shared" ca="1" si="246"/>
        <v>-906.91019786910203</v>
      </c>
      <c r="AD18" s="48">
        <f t="shared" ca="1" si="246"/>
        <v>-993.50989345509913</v>
      </c>
      <c r="AE18" s="48">
        <f t="shared" ca="1" si="246"/>
        <v>-951.23287671232879</v>
      </c>
      <c r="AF18" s="48">
        <f t="shared" ca="1" si="246"/>
        <v>-972.3713850837139</v>
      </c>
      <c r="AG18" s="48">
        <f t="shared" ca="1" si="246"/>
        <v>-930.77625570776263</v>
      </c>
      <c r="AH18" s="48">
        <f t="shared" ca="1" si="246"/>
        <v>-951.23287671232879</v>
      </c>
      <c r="AI18" s="48">
        <f t="shared" ca="1" si="246"/>
        <v>-940.66362252663635</v>
      </c>
      <c r="AJ18" s="48">
        <f t="shared" ca="1" si="246"/>
        <v>-900.09132420091328</v>
      </c>
      <c r="AK18" s="48">
        <f t="shared" ca="1" si="246"/>
        <v>-919.52511415525134</v>
      </c>
      <c r="AL18" s="48">
        <f t="shared" ca="1" si="246"/>
        <v>-879.63470319634712</v>
      </c>
      <c r="AM18" s="48">
        <f t="shared" ca="1" si="246"/>
        <v>-898.38660578386612</v>
      </c>
      <c r="AN18" s="48">
        <f t="shared" ca="1" si="246"/>
        <v>-887.81735159817367</v>
      </c>
      <c r="AO18" s="48">
        <f t="shared" ca="1" si="246"/>
        <v>-820.65144596651453</v>
      </c>
      <c r="AP18" s="48">
        <f t="shared" ca="1" si="246"/>
        <v>-866.67884322678856</v>
      </c>
      <c r="AQ18" s="48">
        <f t="shared" ca="1" si="246"/>
        <v>-828.49315068493161</v>
      </c>
      <c r="AR18" s="48">
        <f t="shared" ca="1" si="246"/>
        <v>-845.54033485540344</v>
      </c>
      <c r="AS18" s="48">
        <f t="shared" ca="1" si="246"/>
        <v>-808.03652968036545</v>
      </c>
      <c r="AT18" s="48">
        <f t="shared" ca="1" si="246"/>
        <v>-824.40182648401833</v>
      </c>
      <c r="AU18" s="48">
        <f t="shared" ca="1" si="246"/>
        <v>-813.83257229832589</v>
      </c>
      <c r="AV18" s="48">
        <f t="shared" ca="1" si="246"/>
        <v>-777.35159817351609</v>
      </c>
      <c r="AW18" s="48">
        <f t="shared" ca="1" si="246"/>
        <v>-792.69406392694077</v>
      </c>
      <c r="AX18" s="48">
        <f t="shared" ca="1" si="246"/>
        <v>-756.89497716895005</v>
      </c>
      <c r="AY18" s="48">
        <f t="shared" ca="1" si="246"/>
        <v>-771.55555555555577</v>
      </c>
      <c r="AZ18" s="48">
        <f t="shared" ca="1" si="246"/>
        <v>-760.98630136986321</v>
      </c>
      <c r="BA18" s="48">
        <f t="shared" ca="1" si="246"/>
        <v>-677.79604261796055</v>
      </c>
      <c r="BB18" s="48">
        <f t="shared" ca="1" si="246"/>
        <v>-739.8477929984781</v>
      </c>
      <c r="BC18" s="48">
        <f t="shared" ca="1" si="246"/>
        <v>-705.75342465753454</v>
      </c>
      <c r="BD18" s="48">
        <f t="shared" ca="1" si="246"/>
        <v>-718.7092846270931</v>
      </c>
      <c r="BE18" s="48">
        <f t="shared" ca="1" si="246"/>
        <v>-685.29680365296826</v>
      </c>
      <c r="BF18" s="48">
        <f t="shared" ca="1" si="246"/>
        <v>-697.57077625570787</v>
      </c>
      <c r="BG18" s="48">
        <f t="shared" ca="1" si="246"/>
        <v>-687.00152207001543</v>
      </c>
      <c r="BH18" s="48">
        <f t="shared" ca="1" si="246"/>
        <v>-654.61187214611891</v>
      </c>
      <c r="BI18" s="48">
        <f t="shared" ca="1" si="246"/>
        <v>-665.86301369863031</v>
      </c>
      <c r="BJ18" s="48">
        <f t="shared" ca="1" si="246"/>
        <v>-634.15525114155275</v>
      </c>
      <c r="BK18" s="48">
        <f t="shared" ca="1" si="246"/>
        <v>-644.72450532724531</v>
      </c>
      <c r="BL18" s="48">
        <f t="shared" ca="1" si="246"/>
        <v>-634.15525114155275</v>
      </c>
      <c r="BM18" s="48">
        <f t="shared" ca="1" si="246"/>
        <v>-563.23896499238992</v>
      </c>
      <c r="BN18" s="48">
        <f t="shared" ca="1" si="246"/>
        <v>-613.01674277016764</v>
      </c>
      <c r="BO18" s="48">
        <f t="shared" ref="BO18:DS18" ca="1" si="247" xml:space="preserve"> IF(_xlfn.SINGLE(Period_End)&gt;= Interest_Start_Date, _xlfn.SINGLE(period_starting_balance)*(_xlfn.SINGLE(Period_End)-_xlfn.SINGLE(period_start)+1)/365*-i_rate, 0)</f>
        <v>-583.01369863013724</v>
      </c>
      <c r="BP18" s="48">
        <f t="shared" ca="1" si="247"/>
        <v>-591.87823439878264</v>
      </c>
      <c r="BQ18" s="48">
        <f t="shared" ca="1" si="247"/>
        <v>-562.55707762557097</v>
      </c>
      <c r="BR18" s="48">
        <f t="shared" ca="1" si="247"/>
        <v>-570.73972602739752</v>
      </c>
      <c r="BS18" s="48">
        <f t="shared" ca="1" si="247"/>
        <v>-560.17047184170497</v>
      </c>
      <c r="BT18" s="48">
        <f t="shared" ca="1" si="247"/>
        <v>-531.87214611872173</v>
      </c>
      <c r="BU18" s="48">
        <f t="shared" ca="1" si="247"/>
        <v>-539.03196347031997</v>
      </c>
      <c r="BV18" s="48">
        <f t="shared" ca="1" si="247"/>
        <v>-511.41552511415546</v>
      </c>
      <c r="BW18" s="48">
        <f t="shared" ca="1" si="247"/>
        <v>-517.89345509893485</v>
      </c>
      <c r="BX18" s="48">
        <f t="shared" ca="1" si="247"/>
        <v>-507.32420091324229</v>
      </c>
      <c r="BY18" s="48">
        <f t="shared" ca="1" si="247"/>
        <v>-448.68188736681918</v>
      </c>
      <c r="BZ18" s="48">
        <f t="shared" ca="1" si="247"/>
        <v>-486.18569254185718</v>
      </c>
      <c r="CA18" s="48">
        <f t="shared" ca="1" si="247"/>
        <v>-460.27397260274</v>
      </c>
      <c r="CB18" s="48">
        <f t="shared" ca="1" si="247"/>
        <v>-465.04718417047218</v>
      </c>
      <c r="CC18" s="48">
        <f t="shared" ca="1" si="247"/>
        <v>-439.81735159817384</v>
      </c>
      <c r="CD18" s="48">
        <f t="shared" ca="1" si="247"/>
        <v>-443.90867579908712</v>
      </c>
      <c r="CE18" s="48">
        <f t="shared" ca="1" si="247"/>
        <v>-433.33942161339451</v>
      </c>
      <c r="CF18" s="48">
        <f t="shared" ca="1" si="247"/>
        <v>-409.13242009132449</v>
      </c>
      <c r="CG18" s="48">
        <f t="shared" ca="1" si="247"/>
        <v>-412.20091324200951</v>
      </c>
      <c r="CH18" s="48">
        <f t="shared" ca="1" si="247"/>
        <v>-388.67579908675839</v>
      </c>
      <c r="CI18" s="48">
        <f t="shared" ca="1" si="247"/>
        <v>-391.06240487062445</v>
      </c>
      <c r="CJ18" s="48">
        <f t="shared" ca="1" si="247"/>
        <v>-380.49315068493183</v>
      </c>
      <c r="CK18" s="48">
        <f t="shared" ca="1" si="247"/>
        <v>-346.05783866057874</v>
      </c>
      <c r="CL18" s="48">
        <f t="shared" ca="1" si="247"/>
        <v>-359.35464231354678</v>
      </c>
      <c r="CM18" s="48">
        <f t="shared" ca="1" si="247"/>
        <v>-337.53424657534288</v>
      </c>
      <c r="CN18" s="48">
        <f t="shared" ca="1" si="247"/>
        <v>-338.21613394216178</v>
      </c>
      <c r="CO18" s="48">
        <f t="shared" ca="1" si="247"/>
        <v>-317.0776255707766</v>
      </c>
      <c r="CP18" s="48">
        <f t="shared" ca="1" si="247"/>
        <v>-317.07762557077666</v>
      </c>
      <c r="CQ18" s="48">
        <f t="shared" ca="1" si="247"/>
        <v>-306.5083713850841</v>
      </c>
      <c r="CR18" s="48">
        <f t="shared" ca="1" si="247"/>
        <v>-286.39269406392737</v>
      </c>
      <c r="CS18" s="48">
        <f t="shared" ca="1" si="247"/>
        <v>-285.3698630136991</v>
      </c>
      <c r="CT18" s="48">
        <f t="shared" ca="1" si="247"/>
        <v>-265.93607305936115</v>
      </c>
      <c r="CU18" s="48">
        <f t="shared" ca="1" si="247"/>
        <v>-264.23135464231399</v>
      </c>
      <c r="CV18" s="48">
        <f t="shared" ca="1" si="247"/>
        <v>-253.66210045662143</v>
      </c>
      <c r="CW18" s="48">
        <f t="shared" ca="1" si="247"/>
        <v>-219.56773211567773</v>
      </c>
      <c r="CX18" s="48">
        <f t="shared" ca="1" si="247"/>
        <v>-232.52359208523637</v>
      </c>
      <c r="CY18" s="48">
        <f t="shared" ca="1" si="247"/>
        <v>-214.79452054794567</v>
      </c>
      <c r="CZ18" s="48">
        <f t="shared" ca="1" si="247"/>
        <v>-211.38508371385129</v>
      </c>
      <c r="DA18" s="48">
        <f t="shared" ca="1" si="247"/>
        <v>-194.33789954337945</v>
      </c>
      <c r="DB18" s="48">
        <f t="shared" ca="1" si="247"/>
        <v>-190.24657534246623</v>
      </c>
      <c r="DC18" s="48">
        <f t="shared" ca="1" si="247"/>
        <v>-179.6773211567737</v>
      </c>
      <c r="DD18" s="48">
        <f t="shared" ca="1" si="247"/>
        <v>-163.65296803653018</v>
      </c>
      <c r="DE18" s="48">
        <f t="shared" ca="1" si="247"/>
        <v>-158.53881278538864</v>
      </c>
      <c r="DF18" s="48">
        <f t="shared" ca="1" si="247"/>
        <v>-143.19634703196397</v>
      </c>
      <c r="DG18" s="48">
        <f t="shared" ca="1" si="247"/>
        <v>-137.40030441400356</v>
      </c>
      <c r="DH18" s="48">
        <f t="shared" ca="1" si="247"/>
        <v>-126.83105022831104</v>
      </c>
      <c r="DI18" s="48">
        <f t="shared" ca="1" si="247"/>
        <v>-105.01065449010703</v>
      </c>
      <c r="DJ18" s="48">
        <f t="shared" ca="1" si="247"/>
        <v>-105.69254185692594</v>
      </c>
      <c r="DK18" s="48">
        <f t="shared" ca="1" si="247"/>
        <v>-92.054794520548484</v>
      </c>
      <c r="DL18" s="48">
        <f t="shared" ca="1" si="247"/>
        <v>-84.554033485540884</v>
      </c>
      <c r="DM18" s="48">
        <f t="shared" ca="1" si="247"/>
        <v>-71.598173515982268</v>
      </c>
      <c r="DN18" s="48">
        <f t="shared" ca="1" si="247"/>
        <v>-63.415525114155805</v>
      </c>
      <c r="DO18" s="48">
        <f t="shared" ca="1" si="247"/>
        <v>-52.846270928463277</v>
      </c>
      <c r="DP18" s="48">
        <f t="shared" ca="1" si="247"/>
        <v>-40.913242009132972</v>
      </c>
      <c r="DQ18" s="48">
        <f t="shared" ca="1" si="247"/>
        <v>-31.707762557078198</v>
      </c>
      <c r="DR18" s="48">
        <f t="shared" ca="1" si="247"/>
        <v>-20.456621004566763</v>
      </c>
      <c r="DS18" s="48">
        <f t="shared" ca="1" si="247"/>
        <v>-10.569254185693115</v>
      </c>
    </row>
    <row r="19" spans="1:123" x14ac:dyDescent="0.35">
      <c r="A19" s="49"/>
      <c r="B19" s="49" t="s">
        <v>82</v>
      </c>
      <c r="C19" s="48">
        <f t="shared" ref="C19:BN19" si="248" xml:space="preserve"> IF(Period_End&gt;= Repayment_Start_Date, -Loan_Total/(repayment_years*12), 0)</f>
        <v>0</v>
      </c>
      <c r="D19" s="48">
        <f t="shared" si="248"/>
        <v>0</v>
      </c>
      <c r="E19" s="48">
        <f t="shared" si="248"/>
        <v>0</v>
      </c>
      <c r="F19" s="48">
        <f t="shared" si="248"/>
        <v>0</v>
      </c>
      <c r="G19" s="48">
        <f t="shared" si="248"/>
        <v>0</v>
      </c>
      <c r="H19" s="48">
        <f t="shared" si="248"/>
        <v>0</v>
      </c>
      <c r="I19" s="48">
        <f t="shared" si="248"/>
        <v>0</v>
      </c>
      <c r="J19" s="48">
        <f t="shared" si="248"/>
        <v>0</v>
      </c>
      <c r="K19" s="48">
        <f t="shared" si="248"/>
        <v>0</v>
      </c>
      <c r="L19" s="48">
        <f t="shared" si="248"/>
        <v>0</v>
      </c>
      <c r="M19" s="48">
        <f t="shared" si="248"/>
        <v>0</v>
      </c>
      <c r="N19" s="48">
        <f t="shared" si="248"/>
        <v>0</v>
      </c>
      <c r="O19" s="48">
        <f t="shared" si="248"/>
        <v>0</v>
      </c>
      <c r="P19" s="48">
        <f t="shared" si="248"/>
        <v>-4148.1481481481478</v>
      </c>
      <c r="Q19" s="48">
        <f t="shared" si="248"/>
        <v>-4148.1481481481478</v>
      </c>
      <c r="R19" s="48">
        <f t="shared" si="248"/>
        <v>-4148.1481481481478</v>
      </c>
      <c r="S19" s="48">
        <f t="shared" si="248"/>
        <v>-4148.1481481481478</v>
      </c>
      <c r="T19" s="48">
        <f t="shared" si="248"/>
        <v>-4148.1481481481478</v>
      </c>
      <c r="U19" s="48">
        <f t="shared" si="248"/>
        <v>-4148.1481481481478</v>
      </c>
      <c r="V19" s="48">
        <f t="shared" si="248"/>
        <v>-4148.1481481481478</v>
      </c>
      <c r="W19" s="48">
        <f t="shared" si="248"/>
        <v>-4148.1481481481478</v>
      </c>
      <c r="X19" s="48">
        <f t="shared" si="248"/>
        <v>-4148.1481481481478</v>
      </c>
      <c r="Y19" s="48">
        <f t="shared" si="248"/>
        <v>-4148.1481481481478</v>
      </c>
      <c r="Z19" s="48">
        <f t="shared" si="248"/>
        <v>-4148.1481481481478</v>
      </c>
      <c r="AA19" s="48">
        <f t="shared" si="248"/>
        <v>-4148.1481481481478</v>
      </c>
      <c r="AB19" s="48">
        <f t="shared" si="248"/>
        <v>-4148.1481481481478</v>
      </c>
      <c r="AC19" s="48">
        <f t="shared" si="248"/>
        <v>-4148.1481481481478</v>
      </c>
      <c r="AD19" s="48">
        <f t="shared" si="248"/>
        <v>-4148.1481481481478</v>
      </c>
      <c r="AE19" s="48">
        <f t="shared" si="248"/>
        <v>-4148.1481481481478</v>
      </c>
      <c r="AF19" s="48">
        <f t="shared" si="248"/>
        <v>-4148.1481481481478</v>
      </c>
      <c r="AG19" s="48">
        <f t="shared" si="248"/>
        <v>-4148.1481481481478</v>
      </c>
      <c r="AH19" s="48">
        <f t="shared" si="248"/>
        <v>-4148.1481481481478</v>
      </c>
      <c r="AI19" s="48">
        <f t="shared" si="248"/>
        <v>-4148.1481481481478</v>
      </c>
      <c r="AJ19" s="48">
        <f t="shared" si="248"/>
        <v>-4148.1481481481478</v>
      </c>
      <c r="AK19" s="48">
        <f t="shared" si="248"/>
        <v>-4148.1481481481478</v>
      </c>
      <c r="AL19" s="48">
        <f t="shared" si="248"/>
        <v>-4148.1481481481478</v>
      </c>
      <c r="AM19" s="48">
        <f t="shared" si="248"/>
        <v>-4148.1481481481478</v>
      </c>
      <c r="AN19" s="48">
        <f t="shared" si="248"/>
        <v>-4148.1481481481478</v>
      </c>
      <c r="AO19" s="48">
        <f t="shared" si="248"/>
        <v>-4148.1481481481478</v>
      </c>
      <c r="AP19" s="48">
        <f t="shared" si="248"/>
        <v>-4148.1481481481478</v>
      </c>
      <c r="AQ19" s="48">
        <f t="shared" si="248"/>
        <v>-4148.1481481481478</v>
      </c>
      <c r="AR19" s="48">
        <f t="shared" si="248"/>
        <v>-4148.1481481481478</v>
      </c>
      <c r="AS19" s="48">
        <f t="shared" si="248"/>
        <v>-4148.1481481481478</v>
      </c>
      <c r="AT19" s="48">
        <f t="shared" si="248"/>
        <v>-4148.1481481481478</v>
      </c>
      <c r="AU19" s="48">
        <f t="shared" si="248"/>
        <v>-4148.1481481481478</v>
      </c>
      <c r="AV19" s="48">
        <f t="shared" si="248"/>
        <v>-4148.1481481481478</v>
      </c>
      <c r="AW19" s="48">
        <f t="shared" si="248"/>
        <v>-4148.1481481481478</v>
      </c>
      <c r="AX19" s="48">
        <f t="shared" si="248"/>
        <v>-4148.1481481481478</v>
      </c>
      <c r="AY19" s="48">
        <f t="shared" si="248"/>
        <v>-4148.1481481481478</v>
      </c>
      <c r="AZ19" s="48">
        <f t="shared" si="248"/>
        <v>-4148.1481481481478</v>
      </c>
      <c r="BA19" s="48">
        <f t="shared" si="248"/>
        <v>-4148.1481481481478</v>
      </c>
      <c r="BB19" s="48">
        <f t="shared" si="248"/>
        <v>-4148.1481481481478</v>
      </c>
      <c r="BC19" s="48">
        <f t="shared" si="248"/>
        <v>-4148.1481481481478</v>
      </c>
      <c r="BD19" s="48">
        <f t="shared" si="248"/>
        <v>-4148.1481481481478</v>
      </c>
      <c r="BE19" s="48">
        <f t="shared" si="248"/>
        <v>-4148.1481481481478</v>
      </c>
      <c r="BF19" s="48">
        <f t="shared" si="248"/>
        <v>-4148.1481481481478</v>
      </c>
      <c r="BG19" s="48">
        <f t="shared" si="248"/>
        <v>-4148.1481481481478</v>
      </c>
      <c r="BH19" s="48">
        <f t="shared" si="248"/>
        <v>-4148.1481481481478</v>
      </c>
      <c r="BI19" s="48">
        <f t="shared" si="248"/>
        <v>-4148.1481481481478</v>
      </c>
      <c r="BJ19" s="48">
        <f t="shared" si="248"/>
        <v>-4148.1481481481478</v>
      </c>
      <c r="BK19" s="48">
        <f t="shared" si="248"/>
        <v>-4148.1481481481478</v>
      </c>
      <c r="BL19" s="48">
        <f t="shared" si="248"/>
        <v>-4148.1481481481478</v>
      </c>
      <c r="BM19" s="48">
        <f t="shared" si="248"/>
        <v>-4148.1481481481478</v>
      </c>
      <c r="BN19" s="48">
        <f t="shared" si="248"/>
        <v>-4148.1481481481478</v>
      </c>
      <c r="BO19" s="48">
        <f t="shared" ref="BO19:DS19" si="249" xml:space="preserve"> IF(Period_End&gt;= Repayment_Start_Date, -Loan_Total/(repayment_years*12), 0)</f>
        <v>-4148.1481481481478</v>
      </c>
      <c r="BP19" s="48">
        <f t="shared" si="249"/>
        <v>-4148.1481481481478</v>
      </c>
      <c r="BQ19" s="48">
        <f t="shared" si="249"/>
        <v>-4148.1481481481478</v>
      </c>
      <c r="BR19" s="48">
        <f t="shared" si="249"/>
        <v>-4148.1481481481478</v>
      </c>
      <c r="BS19" s="48">
        <f t="shared" si="249"/>
        <v>-4148.1481481481478</v>
      </c>
      <c r="BT19" s="48">
        <f t="shared" si="249"/>
        <v>-4148.1481481481478</v>
      </c>
      <c r="BU19" s="48">
        <f t="shared" si="249"/>
        <v>-4148.1481481481478</v>
      </c>
      <c r="BV19" s="48">
        <f t="shared" si="249"/>
        <v>-4148.1481481481478</v>
      </c>
      <c r="BW19" s="48">
        <f t="shared" si="249"/>
        <v>-4148.1481481481478</v>
      </c>
      <c r="BX19" s="48">
        <f t="shared" si="249"/>
        <v>-4148.1481481481478</v>
      </c>
      <c r="BY19" s="48">
        <f t="shared" si="249"/>
        <v>-4148.1481481481478</v>
      </c>
      <c r="BZ19" s="48">
        <f t="shared" si="249"/>
        <v>-4148.1481481481478</v>
      </c>
      <c r="CA19" s="48">
        <f t="shared" si="249"/>
        <v>-4148.1481481481478</v>
      </c>
      <c r="CB19" s="48">
        <f t="shared" si="249"/>
        <v>-4148.1481481481478</v>
      </c>
      <c r="CC19" s="48">
        <f t="shared" si="249"/>
        <v>-4148.1481481481478</v>
      </c>
      <c r="CD19" s="48">
        <f t="shared" si="249"/>
        <v>-4148.1481481481478</v>
      </c>
      <c r="CE19" s="48">
        <f t="shared" si="249"/>
        <v>-4148.1481481481478</v>
      </c>
      <c r="CF19" s="48">
        <f t="shared" si="249"/>
        <v>-4148.1481481481478</v>
      </c>
      <c r="CG19" s="48">
        <f t="shared" si="249"/>
        <v>-4148.1481481481478</v>
      </c>
      <c r="CH19" s="48">
        <f t="shared" si="249"/>
        <v>-4148.1481481481478</v>
      </c>
      <c r="CI19" s="48">
        <f t="shared" si="249"/>
        <v>-4148.1481481481478</v>
      </c>
      <c r="CJ19" s="48">
        <f t="shared" si="249"/>
        <v>-4148.1481481481478</v>
      </c>
      <c r="CK19" s="48">
        <f t="shared" si="249"/>
        <v>-4148.1481481481478</v>
      </c>
      <c r="CL19" s="48">
        <f t="shared" si="249"/>
        <v>-4148.1481481481478</v>
      </c>
      <c r="CM19" s="48">
        <f t="shared" si="249"/>
        <v>-4148.1481481481478</v>
      </c>
      <c r="CN19" s="48">
        <f t="shared" si="249"/>
        <v>-4148.1481481481478</v>
      </c>
      <c r="CO19" s="48">
        <f t="shared" si="249"/>
        <v>-4148.1481481481478</v>
      </c>
      <c r="CP19" s="48">
        <f t="shared" si="249"/>
        <v>-4148.1481481481478</v>
      </c>
      <c r="CQ19" s="48">
        <f t="shared" si="249"/>
        <v>-4148.1481481481478</v>
      </c>
      <c r="CR19" s="48">
        <f t="shared" si="249"/>
        <v>-4148.1481481481478</v>
      </c>
      <c r="CS19" s="48">
        <f t="shared" si="249"/>
        <v>-4148.1481481481478</v>
      </c>
      <c r="CT19" s="48">
        <f t="shared" si="249"/>
        <v>-4148.1481481481478</v>
      </c>
      <c r="CU19" s="48">
        <f t="shared" si="249"/>
        <v>-4148.1481481481478</v>
      </c>
      <c r="CV19" s="48">
        <f t="shared" si="249"/>
        <v>-4148.1481481481478</v>
      </c>
      <c r="CW19" s="48">
        <f t="shared" si="249"/>
        <v>-4148.1481481481478</v>
      </c>
      <c r="CX19" s="48">
        <f t="shared" si="249"/>
        <v>-4148.1481481481478</v>
      </c>
      <c r="CY19" s="48">
        <f t="shared" si="249"/>
        <v>-4148.1481481481478</v>
      </c>
      <c r="CZ19" s="48">
        <f t="shared" si="249"/>
        <v>-4148.1481481481478</v>
      </c>
      <c r="DA19" s="48">
        <f t="shared" si="249"/>
        <v>-4148.1481481481478</v>
      </c>
      <c r="DB19" s="48">
        <f t="shared" si="249"/>
        <v>-4148.1481481481478</v>
      </c>
      <c r="DC19" s="48">
        <f t="shared" si="249"/>
        <v>-4148.1481481481478</v>
      </c>
      <c r="DD19" s="48">
        <f t="shared" si="249"/>
        <v>-4148.1481481481478</v>
      </c>
      <c r="DE19" s="48">
        <f t="shared" si="249"/>
        <v>-4148.1481481481478</v>
      </c>
      <c r="DF19" s="48">
        <f t="shared" si="249"/>
        <v>-4148.1481481481478</v>
      </c>
      <c r="DG19" s="48">
        <f t="shared" si="249"/>
        <v>-4148.1481481481478</v>
      </c>
      <c r="DH19" s="48">
        <f t="shared" si="249"/>
        <v>-4148.1481481481478</v>
      </c>
      <c r="DI19" s="48">
        <f t="shared" si="249"/>
        <v>-4148.1481481481478</v>
      </c>
      <c r="DJ19" s="48">
        <f t="shared" si="249"/>
        <v>-4148.1481481481478</v>
      </c>
      <c r="DK19" s="48">
        <f t="shared" si="249"/>
        <v>-4148.1481481481478</v>
      </c>
      <c r="DL19" s="48">
        <f t="shared" si="249"/>
        <v>-4148.1481481481478</v>
      </c>
      <c r="DM19" s="48">
        <f t="shared" si="249"/>
        <v>-4148.1481481481478</v>
      </c>
      <c r="DN19" s="48">
        <f t="shared" si="249"/>
        <v>-4148.1481481481478</v>
      </c>
      <c r="DO19" s="48">
        <f t="shared" si="249"/>
        <v>-4148.1481481481478</v>
      </c>
      <c r="DP19" s="48">
        <f t="shared" si="249"/>
        <v>-4148.1481481481478</v>
      </c>
      <c r="DQ19" s="48">
        <f t="shared" si="249"/>
        <v>-4148.1481481481478</v>
      </c>
      <c r="DR19" s="48">
        <f t="shared" si="249"/>
        <v>-4148.1481481481478</v>
      </c>
      <c r="DS19" s="48">
        <f t="shared" si="249"/>
        <v>-4148.1481481481478</v>
      </c>
    </row>
    <row r="20" spans="1:123" x14ac:dyDescent="0.35">
      <c r="A20" s="49"/>
      <c r="B20" s="56" t="s">
        <v>76</v>
      </c>
      <c r="C20" s="48">
        <f ca="1" xml:space="preserve"> SUM(_xlfn.SINGLE(period_starting_balance),_xlfn.SINGLE(loan_add),_xlfn.SINGLE(principal_repayment))</f>
        <v>40000</v>
      </c>
      <c r="D20" s="48">
        <f t="shared" ref="D20:BO20" ca="1" si="250" xml:space="preserve"> _xlfn.SINGLE(period_starting_balance)+_xlfn.SINGLE(loan_add)+_xlfn.SINGLE(principal_repayment)</f>
        <v>64000</v>
      </c>
      <c r="E20" s="48">
        <f t="shared" ca="1" si="250"/>
        <v>88000</v>
      </c>
      <c r="F20" s="48">
        <f t="shared" ca="1" si="250"/>
        <v>112000</v>
      </c>
      <c r="G20" s="48">
        <f t="shared" ca="1" si="250"/>
        <v>136000</v>
      </c>
      <c r="H20" s="48">
        <f t="shared" ca="1" si="250"/>
        <v>160000</v>
      </c>
      <c r="I20" s="48">
        <f t="shared" ca="1" si="250"/>
        <v>244000</v>
      </c>
      <c r="J20" s="48">
        <f t="shared" ca="1" si="250"/>
        <v>268000</v>
      </c>
      <c r="K20" s="48">
        <f t="shared" ca="1" si="250"/>
        <v>292000</v>
      </c>
      <c r="L20" s="48">
        <f t="shared" ca="1" si="250"/>
        <v>316000</v>
      </c>
      <c r="M20" s="48">
        <f t="shared" ca="1" si="250"/>
        <v>340000</v>
      </c>
      <c r="N20" s="48">
        <f t="shared" ca="1" si="250"/>
        <v>364000</v>
      </c>
      <c r="O20" s="48">
        <f t="shared" ca="1" si="250"/>
        <v>448000</v>
      </c>
      <c r="P20" s="48">
        <f t="shared" ca="1" si="250"/>
        <v>443851.85185185185</v>
      </c>
      <c r="Q20" s="48">
        <f t="shared" ca="1" si="250"/>
        <v>439703.70370370371</v>
      </c>
      <c r="R20" s="48">
        <f t="shared" ca="1" si="250"/>
        <v>435555.55555555556</v>
      </c>
      <c r="S20" s="48">
        <f t="shared" ca="1" si="250"/>
        <v>431407.40740740742</v>
      </c>
      <c r="T20" s="48">
        <f t="shared" ca="1" si="250"/>
        <v>427259.25925925927</v>
      </c>
      <c r="U20" s="48">
        <f t="shared" ca="1" si="250"/>
        <v>423111.11111111112</v>
      </c>
      <c r="V20" s="48">
        <f t="shared" ca="1" si="250"/>
        <v>418962.96296296298</v>
      </c>
      <c r="W20" s="48">
        <f t="shared" ca="1" si="250"/>
        <v>414814.81481481483</v>
      </c>
      <c r="X20" s="48">
        <f t="shared" ca="1" si="250"/>
        <v>410666.66666666669</v>
      </c>
      <c r="Y20" s="48">
        <f t="shared" ca="1" si="250"/>
        <v>406518.51851851854</v>
      </c>
      <c r="Z20" s="48">
        <f t="shared" ca="1" si="250"/>
        <v>402370.37037037039</v>
      </c>
      <c r="AA20" s="48">
        <f t="shared" ca="1" si="250"/>
        <v>398222.22222222225</v>
      </c>
      <c r="AB20" s="48">
        <f t="shared" ca="1" si="250"/>
        <v>394074.0740740741</v>
      </c>
      <c r="AC20" s="48">
        <f t="shared" ca="1" si="250"/>
        <v>389925.92592592596</v>
      </c>
      <c r="AD20" s="48">
        <f t="shared" ca="1" si="250"/>
        <v>385777.77777777781</v>
      </c>
      <c r="AE20" s="48">
        <f t="shared" ca="1" si="250"/>
        <v>381629.62962962966</v>
      </c>
      <c r="AF20" s="48">
        <f t="shared" ca="1" si="250"/>
        <v>377481.48148148152</v>
      </c>
      <c r="AG20" s="48">
        <f t="shared" ca="1" si="250"/>
        <v>373333.33333333337</v>
      </c>
      <c r="AH20" s="48">
        <f t="shared" ca="1" si="250"/>
        <v>369185.18518518523</v>
      </c>
      <c r="AI20" s="48">
        <f t="shared" ca="1" si="250"/>
        <v>365037.03703703708</v>
      </c>
      <c r="AJ20" s="48">
        <f t="shared" ca="1" si="250"/>
        <v>360888.88888888893</v>
      </c>
      <c r="AK20" s="48">
        <f t="shared" ca="1" si="250"/>
        <v>356740.74074074079</v>
      </c>
      <c r="AL20" s="48">
        <f t="shared" ca="1" si="250"/>
        <v>352592.59259259264</v>
      </c>
      <c r="AM20" s="48">
        <f t="shared" ca="1" si="250"/>
        <v>348444.4444444445</v>
      </c>
      <c r="AN20" s="48">
        <f t="shared" ca="1" si="250"/>
        <v>344296.29629629635</v>
      </c>
      <c r="AO20" s="48">
        <f t="shared" ca="1" si="250"/>
        <v>340148.1481481482</v>
      </c>
      <c r="AP20" s="48">
        <f t="shared" ca="1" si="250"/>
        <v>336000.00000000006</v>
      </c>
      <c r="AQ20" s="48">
        <f t="shared" ca="1" si="250"/>
        <v>331851.85185185191</v>
      </c>
      <c r="AR20" s="48">
        <f t="shared" ca="1" si="250"/>
        <v>327703.70370370377</v>
      </c>
      <c r="AS20" s="48">
        <f t="shared" ca="1" si="250"/>
        <v>323555.55555555562</v>
      </c>
      <c r="AT20" s="48">
        <f t="shared" ca="1" si="250"/>
        <v>319407.40740740747</v>
      </c>
      <c r="AU20" s="48">
        <f t="shared" ca="1" si="250"/>
        <v>315259.25925925933</v>
      </c>
      <c r="AV20" s="48">
        <f t="shared" ca="1" si="250"/>
        <v>311111.11111111118</v>
      </c>
      <c r="AW20" s="48">
        <f t="shared" ca="1" si="250"/>
        <v>306962.96296296304</v>
      </c>
      <c r="AX20" s="48">
        <f t="shared" ca="1" si="250"/>
        <v>302814.81481481489</v>
      </c>
      <c r="AY20" s="48">
        <f t="shared" ca="1" si="250"/>
        <v>298666.66666666674</v>
      </c>
      <c r="AZ20" s="48">
        <f t="shared" ca="1" si="250"/>
        <v>294518.5185185186</v>
      </c>
      <c r="BA20" s="48">
        <f t="shared" ca="1" si="250"/>
        <v>290370.37037037045</v>
      </c>
      <c r="BB20" s="48">
        <f t="shared" ca="1" si="250"/>
        <v>286222.22222222231</v>
      </c>
      <c r="BC20" s="48">
        <f t="shared" ca="1" si="250"/>
        <v>282074.07407407416</v>
      </c>
      <c r="BD20" s="48">
        <f t="shared" ca="1" si="250"/>
        <v>277925.92592592601</v>
      </c>
      <c r="BE20" s="48">
        <f t="shared" ca="1" si="250"/>
        <v>273777.77777777787</v>
      </c>
      <c r="BF20" s="48">
        <f t="shared" ca="1" si="250"/>
        <v>269629.62962962972</v>
      </c>
      <c r="BG20" s="48">
        <f t="shared" ca="1" si="250"/>
        <v>265481.48148148158</v>
      </c>
      <c r="BH20" s="48">
        <f t="shared" ca="1" si="250"/>
        <v>261333.33333333343</v>
      </c>
      <c r="BI20" s="48">
        <f t="shared" ca="1" si="250"/>
        <v>257185.18518518528</v>
      </c>
      <c r="BJ20" s="48">
        <f t="shared" ca="1" si="250"/>
        <v>253037.03703703714</v>
      </c>
      <c r="BK20" s="48">
        <f t="shared" ca="1" si="250"/>
        <v>248888.88888888899</v>
      </c>
      <c r="BL20" s="48">
        <f t="shared" ca="1" si="250"/>
        <v>244740.74074074085</v>
      </c>
      <c r="BM20" s="48">
        <f t="shared" ca="1" si="250"/>
        <v>240592.5925925927</v>
      </c>
      <c r="BN20" s="48">
        <f t="shared" ca="1" si="250"/>
        <v>236444.44444444455</v>
      </c>
      <c r="BO20" s="48">
        <f t="shared" ca="1" si="250"/>
        <v>232296.29629629641</v>
      </c>
      <c r="BP20" s="48">
        <f t="shared" ref="BP20:DS20" ca="1" si="251" xml:space="preserve"> _xlfn.SINGLE(period_starting_balance)+_xlfn.SINGLE(loan_add)+_xlfn.SINGLE(principal_repayment)</f>
        <v>228148.14814814826</v>
      </c>
      <c r="BQ20" s="48">
        <f t="shared" ca="1" si="251"/>
        <v>224000.00000000012</v>
      </c>
      <c r="BR20" s="48">
        <f t="shared" ca="1" si="251"/>
        <v>219851.85185185197</v>
      </c>
      <c r="BS20" s="48">
        <f t="shared" ca="1" si="251"/>
        <v>215703.70370370382</v>
      </c>
      <c r="BT20" s="48">
        <f t="shared" ca="1" si="251"/>
        <v>211555.55555555568</v>
      </c>
      <c r="BU20" s="48">
        <f t="shared" ca="1" si="251"/>
        <v>207407.40740740753</v>
      </c>
      <c r="BV20" s="48">
        <f t="shared" ca="1" si="251"/>
        <v>203259.25925925939</v>
      </c>
      <c r="BW20" s="48">
        <f t="shared" ca="1" si="251"/>
        <v>199111.11111111124</v>
      </c>
      <c r="BX20" s="48">
        <f t="shared" ca="1" si="251"/>
        <v>194962.96296296309</v>
      </c>
      <c r="BY20" s="48">
        <f t="shared" ca="1" si="251"/>
        <v>190814.81481481495</v>
      </c>
      <c r="BZ20" s="48">
        <f t="shared" ca="1" si="251"/>
        <v>186666.6666666668</v>
      </c>
      <c r="CA20" s="48">
        <f t="shared" ca="1" si="251"/>
        <v>182518.51851851866</v>
      </c>
      <c r="CB20" s="48">
        <f t="shared" ca="1" si="251"/>
        <v>178370.37037037051</v>
      </c>
      <c r="CC20" s="48">
        <f t="shared" ca="1" si="251"/>
        <v>174222.22222222236</v>
      </c>
      <c r="CD20" s="48">
        <f t="shared" ca="1" si="251"/>
        <v>170074.07407407422</v>
      </c>
      <c r="CE20" s="48">
        <f t="shared" ca="1" si="251"/>
        <v>165925.92592592607</v>
      </c>
      <c r="CF20" s="48">
        <f t="shared" ca="1" si="251"/>
        <v>161777.77777777793</v>
      </c>
      <c r="CG20" s="48">
        <f t="shared" ca="1" si="251"/>
        <v>157629.62962962978</v>
      </c>
      <c r="CH20" s="48">
        <f t="shared" ca="1" si="251"/>
        <v>153481.48148148163</v>
      </c>
      <c r="CI20" s="48">
        <f t="shared" ca="1" si="251"/>
        <v>149333.33333333349</v>
      </c>
      <c r="CJ20" s="48">
        <f t="shared" ca="1" si="251"/>
        <v>145185.18518518534</v>
      </c>
      <c r="CK20" s="48">
        <f t="shared" ca="1" si="251"/>
        <v>141037.0370370372</v>
      </c>
      <c r="CL20" s="48">
        <f t="shared" ca="1" si="251"/>
        <v>136888.88888888905</v>
      </c>
      <c r="CM20" s="48">
        <f t="shared" ca="1" si="251"/>
        <v>132740.7407407409</v>
      </c>
      <c r="CN20" s="48">
        <f t="shared" ca="1" si="251"/>
        <v>128592.59259259276</v>
      </c>
      <c r="CO20" s="48">
        <f t="shared" ca="1" si="251"/>
        <v>124444.44444444461</v>
      </c>
      <c r="CP20" s="48">
        <f t="shared" ca="1" si="251"/>
        <v>120296.29629629647</v>
      </c>
      <c r="CQ20" s="48">
        <f t="shared" ca="1" si="251"/>
        <v>116148.14814814832</v>
      </c>
      <c r="CR20" s="48">
        <f t="shared" ca="1" si="251"/>
        <v>112000.00000000017</v>
      </c>
      <c r="CS20" s="48">
        <f t="shared" ca="1" si="251"/>
        <v>107851.85185185203</v>
      </c>
      <c r="CT20" s="48">
        <f t="shared" ca="1" si="251"/>
        <v>103703.70370370388</v>
      </c>
      <c r="CU20" s="48">
        <f t="shared" ca="1" si="251"/>
        <v>99555.555555555737</v>
      </c>
      <c r="CV20" s="48">
        <f t="shared" ca="1" si="251"/>
        <v>95407.407407407591</v>
      </c>
      <c r="CW20" s="48">
        <f t="shared" ca="1" si="251"/>
        <v>91259.259259259445</v>
      </c>
      <c r="CX20" s="48">
        <f t="shared" ca="1" si="251"/>
        <v>87111.111111111299</v>
      </c>
      <c r="CY20" s="48">
        <f t="shared" ca="1" si="251"/>
        <v>82962.962962963153</v>
      </c>
      <c r="CZ20" s="48">
        <f t="shared" ca="1" si="251"/>
        <v>78814.814814815007</v>
      </c>
      <c r="DA20" s="48">
        <f t="shared" ca="1" si="251"/>
        <v>74666.666666666861</v>
      </c>
      <c r="DB20" s="48">
        <f t="shared" ca="1" si="251"/>
        <v>70518.518518518715</v>
      </c>
      <c r="DC20" s="48">
        <f t="shared" ca="1" si="251"/>
        <v>66370.370370370569</v>
      </c>
      <c r="DD20" s="48">
        <f t="shared" ca="1" si="251"/>
        <v>62222.222222222423</v>
      </c>
      <c r="DE20" s="48">
        <f t="shared" ca="1" si="251"/>
        <v>58074.074074074277</v>
      </c>
      <c r="DF20" s="48">
        <f t="shared" ca="1" si="251"/>
        <v>53925.925925926131</v>
      </c>
      <c r="DG20" s="48">
        <f t="shared" ca="1" si="251"/>
        <v>49777.777777777985</v>
      </c>
      <c r="DH20" s="48">
        <f t="shared" ca="1" si="251"/>
        <v>45629.629629629839</v>
      </c>
      <c r="DI20" s="48">
        <f t="shared" ca="1" si="251"/>
        <v>41481.481481481693</v>
      </c>
      <c r="DJ20" s="48">
        <f t="shared" ca="1" si="251"/>
        <v>37333.333333333547</v>
      </c>
      <c r="DK20" s="48">
        <f t="shared" ca="1" si="251"/>
        <v>33185.185185185401</v>
      </c>
      <c r="DL20" s="48">
        <f t="shared" ca="1" si="251"/>
        <v>29037.037037037255</v>
      </c>
      <c r="DM20" s="48">
        <f t="shared" ca="1" si="251"/>
        <v>24888.888888889109</v>
      </c>
      <c r="DN20" s="48">
        <f t="shared" ca="1" si="251"/>
        <v>20740.740740740963</v>
      </c>
      <c r="DO20" s="48">
        <f t="shared" ca="1" si="251"/>
        <v>16592.592592592817</v>
      </c>
      <c r="DP20" s="48">
        <f t="shared" ca="1" si="251"/>
        <v>12444.444444444669</v>
      </c>
      <c r="DQ20" s="48">
        <f t="shared" ca="1" si="251"/>
        <v>8296.2962962965212</v>
      </c>
      <c r="DR20" s="48">
        <f t="shared" ca="1" si="251"/>
        <v>4148.1481481483734</v>
      </c>
      <c r="DS20" s="48">
        <f t="shared" ca="1" si="251"/>
        <v>2.255546860396862E-10</v>
      </c>
    </row>
    <row r="21" spans="1:123" x14ac:dyDescent="0.35">
      <c r="A21" s="49"/>
      <c r="B21" s="49"/>
    </row>
    <row r="22" spans="1:123" x14ac:dyDescent="0.35">
      <c r="A22" s="51"/>
      <c r="B22" s="51" t="s">
        <v>140</v>
      </c>
    </row>
    <row r="23" spans="1:123" x14ac:dyDescent="0.35">
      <c r="A23" s="54"/>
      <c r="B23" s="54" t="s">
        <v>115</v>
      </c>
      <c r="C23" s="53" cm="1">
        <f t="array" ref="C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D23" s="53" cm="1">
        <f t="array" ref="D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E23" s="53" cm="1">
        <f t="array" ref="E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F23" s="53" cm="1">
        <f t="array" ref="F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G23" s="53" cm="1">
        <f t="array" ref="G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H23" s="53" cm="1">
        <f t="array" ref="H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I23" s="53" cm="1">
        <f t="array" ref="I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J23" s="53" cm="1">
        <f t="array" ref="J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K23" s="53" cm="1">
        <f t="array" ref="K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L23" s="53" cm="1">
        <f t="array" ref="L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M23" s="53" cm="1">
        <f t="array" ref="M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N23" s="53" cm="1">
        <f t="array" ref="N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O23" s="53" cm="1">
        <f t="array" ref="O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0</v>
      </c>
      <c r="P23" s="53" cm="1">
        <f t="array" ref="P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100</v>
      </c>
      <c r="Q23" s="53" cm="1">
        <f t="array" ref="Q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102</v>
      </c>
      <c r="R23" s="53" cm="1">
        <f t="array" ref="R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104.03999999999999</v>
      </c>
      <c r="S23" s="53" cm="1">
        <f t="array" ref="S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106.12079999999999</v>
      </c>
      <c r="T23" s="53" cm="1">
        <f t="array" ref="T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108.243216</v>
      </c>
      <c r="U23" s="53" cm="1">
        <f t="array" ref="U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110.40808032</v>
      </c>
      <c r="V23" s="53" cm="1">
        <f t="array" ref="V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112.61624192640001</v>
      </c>
      <c r="W23" s="53" cm="1">
        <f t="array" ref="W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114.86856676492798</v>
      </c>
      <c r="X23" s="53" cm="1">
        <f t="array" ref="X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117.16593810022655</v>
      </c>
      <c r="Y23" s="53" cm="1">
        <f t="array" ref="Y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119.50925686223108</v>
      </c>
      <c r="Z23" s="53" cm="1">
        <f t="array" ref="Z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121.89944199947571</v>
      </c>
      <c r="AA23" s="53" cm="1">
        <f t="array" ref="AA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124.3374308394652</v>
      </c>
      <c r="AB23" s="53" cm="1">
        <f t="array" ref="AB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126.82417945625453</v>
      </c>
      <c r="AC23" s="53" cm="1">
        <f t="array" ref="AC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129.3606630453796</v>
      </c>
      <c r="AD23" s="53" cm="1">
        <f t="array" ref="AD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131.94787630628721</v>
      </c>
      <c r="AE23" s="53" cm="1">
        <f t="array" ref="AE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134.58683383241294</v>
      </c>
      <c r="AF23" s="53" cm="1">
        <f t="array" ref="AF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137.27857050906121</v>
      </c>
      <c r="AG23" s="53" cm="1">
        <f t="array" ref="AG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140.02414191924245</v>
      </c>
      <c r="AH23" s="53" cm="1">
        <f t="array" ref="AH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142.82462475762728</v>
      </c>
      <c r="AI23" s="53" cm="1">
        <f t="array" ref="AI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145.68111725277981</v>
      </c>
      <c r="AJ23" s="53" cm="1">
        <f t="array" ref="AJ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148.59473959783543</v>
      </c>
      <c r="AK23" s="53" cm="1">
        <f t="array" ref="AK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151.56663438979211</v>
      </c>
      <c r="AL23" s="53" cm="1">
        <f t="array" ref="AL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154.59796707758798</v>
      </c>
      <c r="AM23" s="53" cm="1">
        <f t="array" ref="AM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157.68992641913971</v>
      </c>
      <c r="AN23" s="53" cm="1">
        <f t="array" ref="AN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160.8437249475225</v>
      </c>
      <c r="AO23" s="53" cm="1">
        <f t="array" ref="AO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164.06059944647296</v>
      </c>
      <c r="AP23" s="53" cm="1">
        <f t="array" ref="AP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167.34181143540243</v>
      </c>
      <c r="AQ23" s="53" cm="1">
        <f t="array" ref="AQ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170.68864766411045</v>
      </c>
      <c r="AR23" s="53" cm="1">
        <f t="array" ref="AR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174.10242061739268</v>
      </c>
      <c r="AS23" s="53" cm="1">
        <f t="array" ref="AS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177.58446902974052</v>
      </c>
      <c r="AT23" s="53" cm="1">
        <f t="array" ref="AT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181.13615841033536</v>
      </c>
      <c r="AU23" s="53" cm="1">
        <f t="array" ref="AU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184.758881578542</v>
      </c>
      <c r="AV23" s="53" cm="1">
        <f t="array" ref="AV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188.45405921011289</v>
      </c>
      <c r="AW23" s="53" cm="1">
        <f t="array" ref="AW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192.22314039431515</v>
      </c>
      <c r="AX23" s="53" cm="1">
        <f t="array" ref="AX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196.06760320220144</v>
      </c>
      <c r="AY23" s="53" cm="1">
        <f t="array" ref="AY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199.98895526624548</v>
      </c>
      <c r="AZ23" s="53" cm="1">
        <f t="array" ref="AZ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203.98873437157036</v>
      </c>
      <c r="BA23" s="53" cm="1">
        <f t="array" ref="BA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208.0685090590018</v>
      </c>
      <c r="BB23" s="53" cm="1">
        <f t="array" ref="BB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212.22987924018187</v>
      </c>
      <c r="BC23" s="53" cm="1">
        <f t="array" ref="BC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216.47447682498543</v>
      </c>
      <c r="BD23" s="53" cm="1">
        <f t="array" ref="BD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220.80396636148518</v>
      </c>
      <c r="BE23" s="53" cm="1">
        <f t="array" ref="BE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225.22004568871489</v>
      </c>
      <c r="BF23" s="53" cm="1">
        <f t="array" ref="BF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229.72444660248917</v>
      </c>
      <c r="BG23" s="53" cm="1">
        <f t="array" ref="BG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234.31893553453892</v>
      </c>
      <c r="BH23" s="53" cm="1">
        <f t="array" ref="BH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239.00531424522975</v>
      </c>
      <c r="BI23" s="53" cm="1">
        <f t="array" ref="BI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243.78542053013433</v>
      </c>
      <c r="BJ23" s="53" cm="1">
        <f t="array" ref="BJ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248.66112894073703</v>
      </c>
      <c r="BK23" s="53" cm="1">
        <f t="array" ref="BK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253.6343515195517</v>
      </c>
      <c r="BL23" s="53" cm="1">
        <f t="array" ref="BL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258.70703854994275</v>
      </c>
      <c r="BM23" s="53" cm="1">
        <f t="array" ref="BM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263.88117932094161</v>
      </c>
      <c r="BN23" s="53" cm="1">
        <f t="array" ref="BN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269.1588029073605</v>
      </c>
      <c r="BO23" s="53" cm="1">
        <f t="array" ref="BO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274.54197896550767</v>
      </c>
      <c r="BP23" s="53" cm="1">
        <f t="array" ref="BP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280.03281854481787</v>
      </c>
      <c r="BQ23" s="53" cm="1">
        <f t="array" ref="BQ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285.63347491571415</v>
      </c>
      <c r="BR23" s="53" cm="1">
        <f t="array" ref="BR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291.34614441402846</v>
      </c>
      <c r="BS23" s="53" cm="1">
        <f t="array" ref="BS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297.17306730230899</v>
      </c>
      <c r="BT23" s="53" cm="1">
        <f t="array" ref="BT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303.11652864835514</v>
      </c>
      <c r="BU23" s="53" cm="1">
        <f t="array" ref="BU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309.17885922132228</v>
      </c>
      <c r="BV23" s="53" cm="1">
        <f t="array" ref="BV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315.36243640574872</v>
      </c>
      <c r="BW23" s="53" cm="1">
        <f t="array" ref="BW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321.66968513386365</v>
      </c>
      <c r="BX23" s="53" cm="1">
        <f t="array" ref="BX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323.27803355953296</v>
      </c>
      <c r="BY23" s="53" cm="1">
        <f t="array" ref="BY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324.89442372733055</v>
      </c>
      <c r="BZ23" s="53" cm="1">
        <f t="array" ref="BZ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326.51889584596717</v>
      </c>
      <c r="CA23" s="53" cm="1">
        <f t="array" ref="CA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328.1514903251969</v>
      </c>
      <c r="CB23" s="53" cm="1">
        <f t="array" ref="CB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329.79224777682282</v>
      </c>
      <c r="CC23" s="53" cm="1">
        <f t="array" ref="CC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331.44120901570687</v>
      </c>
      <c r="CD23" s="53" cm="1">
        <f t="array" ref="CD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333.09841506078538</v>
      </c>
      <c r="CE23" s="53" cm="1">
        <f t="array" ref="CE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334.7639071360893</v>
      </c>
      <c r="CF23" s="53" cm="1">
        <f t="array" ref="CF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336.43772667176972</v>
      </c>
      <c r="CG23" s="53" cm="1">
        <f t="array" ref="CG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338.11991530512853</v>
      </c>
      <c r="CH23" s="53" cm="1">
        <f t="array" ref="CH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339.81051488165411</v>
      </c>
      <c r="CI23" s="53" cm="1">
        <f t="array" ref="CI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341.50956745606226</v>
      </c>
      <c r="CJ23" s="53" cm="1">
        <f t="array" ref="CJ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343.21711529334254</v>
      </c>
      <c r="CK23" s="53" cm="1">
        <f t="array" ref="CK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344.93320086980924</v>
      </c>
      <c r="CL23" s="53" cm="1">
        <f t="array" ref="CL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346.65786687415817</v>
      </c>
      <c r="CM23" s="53" cm="1">
        <f t="array" ref="CM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348.39115620852891</v>
      </c>
      <c r="CN23" s="53" cm="1">
        <f t="array" ref="CN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350.13311198957155</v>
      </c>
      <c r="CO23" s="53" cm="1">
        <f t="array" ref="CO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351.88377754951932</v>
      </c>
      <c r="CP23" s="53" cm="1">
        <f t="array" ref="CP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353.64319643726685</v>
      </c>
      <c r="CQ23" s="53" cm="1">
        <f t="array" ref="CQ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355.4114124194532</v>
      </c>
      <c r="CR23" s="53" cm="1">
        <f t="array" ref="CR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357.18846948155033</v>
      </c>
      <c r="CS23" s="53" cm="1">
        <f t="array" ref="CS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358.97441182895807</v>
      </c>
      <c r="CT23" s="53" cm="1">
        <f t="array" ref="CT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360.76928388810273</v>
      </c>
      <c r="CU23" s="53" cm="1">
        <f t="array" ref="CU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362.57313030754329</v>
      </c>
      <c r="CV23" s="53" cm="1">
        <f t="array" ref="CV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364.38599595908096</v>
      </c>
      <c r="CW23" s="53" cm="1">
        <f t="array" ref="CW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366.20792593887631</v>
      </c>
      <c r="CX23" s="53" cm="1">
        <f t="array" ref="CX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368.03896556857063</v>
      </c>
      <c r="CY23" s="53" cm="1">
        <f t="array" ref="CY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369.8791603964134</v>
      </c>
      <c r="CZ23" s="53" cm="1">
        <f t="array" ref="CZ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371.72855619839544</v>
      </c>
      <c r="DA23" s="53" cm="1">
        <f t="array" ref="DA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373.58719897938732</v>
      </c>
      <c r="DB23" s="53" cm="1">
        <f t="array" ref="DB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375.45513497428419</v>
      </c>
      <c r="DC23" s="53" cm="1">
        <f t="array" ref="DC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377.33241064915558</v>
      </c>
      <c r="DD23" s="53" cm="1">
        <f t="array" ref="DD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379.21907270240126</v>
      </c>
      <c r="DE23" s="53" cm="1">
        <f t="array" ref="DE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381.11516806591322</v>
      </c>
      <c r="DF23" s="53" cm="1">
        <f t="array" ref="DF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383.02074390624279</v>
      </c>
      <c r="DG23" s="53" cm="1">
        <f t="array" ref="DG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384.93584762577387</v>
      </c>
      <c r="DH23" s="53" cm="1">
        <f t="array" ref="DH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386.86052686390263</v>
      </c>
      <c r="DI23" s="53" cm="1">
        <f t="array" ref="DI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388.79482949822216</v>
      </c>
      <c r="DJ23" s="53" cm="1">
        <f t="array" ref="DJ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390.73880364571323</v>
      </c>
      <c r="DK23" s="53" cm="1">
        <f t="array" ref="DK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392.69249766394177</v>
      </c>
      <c r="DL23" s="53" cm="1">
        <f t="array" ref="DL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394.6559601522614</v>
      </c>
      <c r="DM23" s="53" cm="1">
        <f t="array" ref="DM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396.62923995302259</v>
      </c>
      <c r="DN23" s="53" cm="1">
        <f t="array" ref="DN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398.61238615278774</v>
      </c>
      <c r="DO23" s="53" cm="1">
        <f t="array" ref="DO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400.60544808355155</v>
      </c>
      <c r="DP23" s="53" cm="1">
        <f t="array" ref="DP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402.60847532396923</v>
      </c>
      <c r="DQ23" s="53" cm="1">
        <f t="array" ref="DQ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404.62151770058904</v>
      </c>
      <c r="DR23" s="53" cm="1">
        <f t="array" ref="DR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406.64462528909183</v>
      </c>
      <c r="DS23" s="53" cm="1">
        <f t="array" ref="DS23">_xlfn.IFS(_xlfn.SINGLE(Month)&lt;ops_start_mo,0,
_xlfn.SINGLE(Month)&lt;ops_slowdown_mo,
mini_initial*POWER(1+mini_growth,_xlfn.SINGLE(Month)-ops_start_mo),
_xlfn.SINGLE(Month)&gt;=ops_slowdown_mo,
mini_initial*POWER(1+mini_growth,ops_slowdown_mo-ops_start_mo-1)*POWER(1+growth_rate_slow,_xlfn.SINGLE(Month)-ops_slowdown_mo+1))</f>
        <v>408.67784841553731</v>
      </c>
    </row>
    <row r="24" spans="1:123" x14ac:dyDescent="0.35">
      <c r="A24" s="54"/>
      <c r="B24" s="54" t="s">
        <v>116</v>
      </c>
      <c r="C24" s="53" cm="1">
        <f t="array" ref="C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D24" s="53" cm="1">
        <f t="array" ref="D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E24" s="53" cm="1">
        <f t="array" ref="E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F24" s="53" cm="1">
        <f t="array" ref="F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G24" s="53" cm="1">
        <f t="array" ref="G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H24" s="53" cm="1">
        <f t="array" ref="H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I24" s="53" cm="1">
        <f t="array" ref="I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J24" s="53" cm="1">
        <f t="array" ref="J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K24" s="53" cm="1">
        <f t="array" ref="K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L24" s="53" cm="1">
        <f t="array" ref="L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M24" s="53" cm="1">
        <f t="array" ref="M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N24" s="53" cm="1">
        <f t="array" ref="N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O24" s="53" cm="1">
        <f t="array" ref="O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0</v>
      </c>
      <c r="P24" s="53" cm="1">
        <f t="array" ref="P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500</v>
      </c>
      <c r="Q24" s="53" cm="1">
        <f t="array" ref="Q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515</v>
      </c>
      <c r="R24" s="53" cm="1">
        <f t="array" ref="R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530.44999999999993</v>
      </c>
      <c r="S24" s="53" cm="1">
        <f t="array" ref="S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546.36350000000004</v>
      </c>
      <c r="T24" s="53" cm="1">
        <f t="array" ref="T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562.75440499999991</v>
      </c>
      <c r="U24" s="53" cm="1">
        <f t="array" ref="U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579.63703714999997</v>
      </c>
      <c r="V24" s="53" cm="1">
        <f t="array" ref="V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597.02614826449997</v>
      </c>
      <c r="W24" s="53" cm="1">
        <f t="array" ref="W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614.93693271243501</v>
      </c>
      <c r="X24" s="53" cm="1">
        <f t="array" ref="X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633.38504069380792</v>
      </c>
      <c r="Y24" s="53" cm="1">
        <f t="array" ref="Y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652.38659191462227</v>
      </c>
      <c r="Z24" s="53" cm="1">
        <f t="array" ref="Z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671.95818967206094</v>
      </c>
      <c r="AA24" s="53" cm="1">
        <f t="array" ref="AA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692.11693536222276</v>
      </c>
      <c r="AB24" s="53" cm="1">
        <f t="array" ref="AB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712.88044342308933</v>
      </c>
      <c r="AC24" s="53" cm="1">
        <f t="array" ref="AC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734.26685672578196</v>
      </c>
      <c r="AD24" s="53" cm="1">
        <f t="array" ref="AD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756.29486242755547</v>
      </c>
      <c r="AE24" s="53" cm="1">
        <f t="array" ref="AE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778.9837083003822</v>
      </c>
      <c r="AF24" s="53" cm="1">
        <f t="array" ref="AF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802.35321954939354</v>
      </c>
      <c r="AG24" s="53" cm="1">
        <f t="array" ref="AG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826.42381613587531</v>
      </c>
      <c r="AH24" s="53" cm="1">
        <f t="array" ref="AH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851.21653061995164</v>
      </c>
      <c r="AI24" s="53" cm="1">
        <f t="array" ref="AI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876.7530265385501</v>
      </c>
      <c r="AJ24" s="53" cm="1">
        <f t="array" ref="AJ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903.05561733470665</v>
      </c>
      <c r="AK24" s="53" cm="1">
        <f t="array" ref="AK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930.14728585474768</v>
      </c>
      <c r="AL24" s="53" cm="1">
        <f t="array" ref="AL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958.05170443039026</v>
      </c>
      <c r="AM24" s="53" cm="1">
        <f t="array" ref="AM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986.79325556330195</v>
      </c>
      <c r="AN24" s="53" cm="1">
        <f t="array" ref="AN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1016.3970532302009</v>
      </c>
      <c r="AO24" s="53" cm="1">
        <f t="array" ref="AO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1046.888964827107</v>
      </c>
      <c r="AP24" s="53" cm="1">
        <f t="array" ref="AP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1078.2956337719204</v>
      </c>
      <c r="AQ24" s="53" cm="1">
        <f t="array" ref="AQ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1110.6445027850777</v>
      </c>
      <c r="AR24" s="53" cm="1">
        <f t="array" ref="AR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1143.9638378686302</v>
      </c>
      <c r="AS24" s="53" cm="1">
        <f t="array" ref="AS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1178.2827530046889</v>
      </c>
      <c r="AT24" s="53" cm="1">
        <f t="array" ref="AT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1213.6312355948296</v>
      </c>
      <c r="AU24" s="53" cm="1">
        <f t="array" ref="AU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1250.0401726626746</v>
      </c>
      <c r="AV24" s="53" cm="1">
        <f t="array" ref="AV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1287.5413778425545</v>
      </c>
      <c r="AW24" s="53" cm="1">
        <f t="array" ref="AW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1326.1676191778313</v>
      </c>
      <c r="AX24" s="53" cm="1">
        <f t="array" ref="AX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1365.952647753166</v>
      </c>
      <c r="AY24" s="53" cm="1">
        <f t="array" ref="AY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1406.9312271857611</v>
      </c>
      <c r="AZ24" s="53" cm="1">
        <f t="array" ref="AZ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1449.1391640013339</v>
      </c>
      <c r="BA24" s="53" cm="1">
        <f t="array" ref="BA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1492.6133389213737</v>
      </c>
      <c r="BB24" s="53" cm="1">
        <f t="array" ref="BB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1537.3917390890151</v>
      </c>
      <c r="BC24" s="53" cm="1">
        <f t="array" ref="BC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1583.5134912616857</v>
      </c>
      <c r="BD24" s="53" cm="1">
        <f t="array" ref="BD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1631.018895999536</v>
      </c>
      <c r="BE24" s="53" cm="1">
        <f t="array" ref="BE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1679.9494628795221</v>
      </c>
      <c r="BF24" s="53" cm="1">
        <f t="array" ref="BF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1730.3479467659079</v>
      </c>
      <c r="BG24" s="53" cm="1">
        <f t="array" ref="BG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1782.2583851688851</v>
      </c>
      <c r="BH24" s="53" cm="1">
        <f t="array" ref="BH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1835.7261367239514</v>
      </c>
      <c r="BI24" s="53" cm="1">
        <f t="array" ref="BI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1890.79792082567</v>
      </c>
      <c r="BJ24" s="53" cm="1">
        <f t="array" ref="BJ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1947.52185845044</v>
      </c>
      <c r="BK24" s="53" cm="1">
        <f t="array" ref="BK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2005.9475142039535</v>
      </c>
      <c r="BL24" s="53" cm="1">
        <f t="array" ref="BL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2066.125939630072</v>
      </c>
      <c r="BM24" s="53" cm="1">
        <f t="array" ref="BM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2128.1097178189739</v>
      </c>
      <c r="BN24" s="53" cm="1">
        <f t="array" ref="BN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2191.9530093535432</v>
      </c>
      <c r="BO24" s="53" cm="1">
        <f t="array" ref="BO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2257.7115996341495</v>
      </c>
      <c r="BP24" s="53" cm="1">
        <f t="array" ref="BP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2325.4429476231739</v>
      </c>
      <c r="BQ24" s="53" cm="1">
        <f t="array" ref="BQ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2395.2062360518685</v>
      </c>
      <c r="BR24" s="53" cm="1">
        <f t="array" ref="BR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2467.062423133425</v>
      </c>
      <c r="BS24" s="53" cm="1">
        <f t="array" ref="BS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2541.0742958274282</v>
      </c>
      <c r="BT24" s="53" cm="1">
        <f t="array" ref="BT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2617.30652470225</v>
      </c>
      <c r="BU24" s="53" cm="1">
        <f t="array" ref="BU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2695.825720443318</v>
      </c>
      <c r="BV24" s="53" cm="1">
        <f t="array" ref="BV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2776.7004920566178</v>
      </c>
      <c r="BW24" s="53" cm="1">
        <f t="array" ref="BW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2860.0015068183161</v>
      </c>
      <c r="BX24" s="53" cm="1">
        <f t="array" ref="BX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2874.3015143524076</v>
      </c>
      <c r="BY24" s="53" cm="1">
        <f t="array" ref="BY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2888.673021924169</v>
      </c>
      <c r="BZ24" s="53" cm="1">
        <f t="array" ref="BZ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2903.1163870337896</v>
      </c>
      <c r="CA24" s="53" cm="1">
        <f t="array" ref="CA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2917.6319689689576</v>
      </c>
      <c r="CB24" s="53" cm="1">
        <f t="array" ref="CB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2932.2201288138017</v>
      </c>
      <c r="CC24" s="53" cm="1">
        <f t="array" ref="CC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2946.8812294578706</v>
      </c>
      <c r="CD24" s="53" cm="1">
        <f t="array" ref="CD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2961.6156356051592</v>
      </c>
      <c r="CE24" s="53" cm="1">
        <f t="array" ref="CE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2976.4237137831851</v>
      </c>
      <c r="CF24" s="53" cm="1">
        <f t="array" ref="CF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2991.3058323521009</v>
      </c>
      <c r="CG24" s="53" cm="1">
        <f t="array" ref="CG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3006.2623615138609</v>
      </c>
      <c r="CH24" s="53" cm="1">
        <f t="array" ref="CH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3021.2936733214297</v>
      </c>
      <c r="CI24" s="53" cm="1">
        <f t="array" ref="CI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3036.400141688036</v>
      </c>
      <c r="CJ24" s="53" cm="1">
        <f t="array" ref="CJ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3051.5821423964758</v>
      </c>
      <c r="CK24" s="53" cm="1">
        <f t="array" ref="CK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3066.8400531084576</v>
      </c>
      <c r="CL24" s="53" cm="1">
        <f t="array" ref="CL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3082.1742533739994</v>
      </c>
      <c r="CM24" s="53" cm="1">
        <f t="array" ref="CM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3097.5851246408688</v>
      </c>
      <c r="CN24" s="53" cm="1">
        <f t="array" ref="CN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3113.0730502640731</v>
      </c>
      <c r="CO24" s="53" cm="1">
        <f t="array" ref="CO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3128.6384155153924</v>
      </c>
      <c r="CP24" s="53" cm="1">
        <f t="array" ref="CP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3144.2816075929691</v>
      </c>
      <c r="CQ24" s="53" cm="1">
        <f t="array" ref="CQ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3160.0030156309335</v>
      </c>
      <c r="CR24" s="53" cm="1">
        <f t="array" ref="CR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3175.8030307090876</v>
      </c>
      <c r="CS24" s="53" cm="1">
        <f t="array" ref="CS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3191.6820458626325</v>
      </c>
      <c r="CT24" s="53" cm="1">
        <f t="array" ref="CT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3207.640456091945</v>
      </c>
      <c r="CU24" s="53" cm="1">
        <f t="array" ref="CU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3223.6786583724052</v>
      </c>
      <c r="CV24" s="53" cm="1">
        <f t="array" ref="CV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3239.7970516642663</v>
      </c>
      <c r="CW24" s="53" cm="1">
        <f t="array" ref="CW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3255.9960369225873</v>
      </c>
      <c r="CX24" s="53" cm="1">
        <f t="array" ref="CX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3272.2760171071996</v>
      </c>
      <c r="CY24" s="53" cm="1">
        <f t="array" ref="CY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3288.6373971927351</v>
      </c>
      <c r="CZ24" s="53" cm="1">
        <f t="array" ref="CZ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3305.0805841786982</v>
      </c>
      <c r="DA24" s="53" cm="1">
        <f t="array" ref="DA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3321.6059870995914</v>
      </c>
      <c r="DB24" s="53" cm="1">
        <f t="array" ref="DB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3338.2140170350881</v>
      </c>
      <c r="DC24" s="53" cm="1">
        <f t="array" ref="DC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3354.9050871202635</v>
      </c>
      <c r="DD24" s="53" cm="1">
        <f t="array" ref="DD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3371.679612555864</v>
      </c>
      <c r="DE24" s="53" cm="1">
        <f t="array" ref="DE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3388.5380106186431</v>
      </c>
      <c r="DF24" s="53" cm="1">
        <f t="array" ref="DF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3405.480700671736</v>
      </c>
      <c r="DG24" s="53" cm="1">
        <f t="array" ref="DG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3422.5081041750936</v>
      </c>
      <c r="DH24" s="53" cm="1">
        <f t="array" ref="DH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3439.6206446959682</v>
      </c>
      <c r="DI24" s="53" cm="1">
        <f t="array" ref="DI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3456.818747919448</v>
      </c>
      <c r="DJ24" s="53" cm="1">
        <f t="array" ref="DJ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3474.1028416590448</v>
      </c>
      <c r="DK24" s="53" cm="1">
        <f t="array" ref="DK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3491.4733558673397</v>
      </c>
      <c r="DL24" s="53" cm="1">
        <f t="array" ref="DL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3508.9307226466758</v>
      </c>
      <c r="DM24" s="53" cm="1">
        <f t="array" ref="DM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3526.4753762599084</v>
      </c>
      <c r="DN24" s="53" cm="1">
        <f t="array" ref="DN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3544.1077531412079</v>
      </c>
      <c r="DO24" s="53" cm="1">
        <f t="array" ref="DO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3561.8282919069134</v>
      </c>
      <c r="DP24" s="53" cm="1">
        <f t="array" ref="DP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3579.6374333664471</v>
      </c>
      <c r="DQ24" s="53" cm="1">
        <f t="array" ref="DQ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3597.5356205332791</v>
      </c>
      <c r="DR24" s="53" cm="1">
        <f t="array" ref="DR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3615.5232986359442</v>
      </c>
      <c r="DS24" s="53" cm="1">
        <f t="array" ref="DS24">_xlfn.IFS(_xlfn.SINGLE(Month)&lt;ops_start_mo,0,
_xlfn.SINGLE(Month)&lt;ops_slowdown_mo,
reg_initial*POWER(1+reg_growth,_xlfn.SINGLE(Month)-ops_start_mo),
_xlfn.SINGLE(Month)&gt;=ops_slowdown_mo,
reg_initial*POWER(1+reg_growth,ops_slowdown_mo-ops_start_mo-1)*POWER(1+growth_rate_slow,_xlfn.SINGLE(Month)-ops_slowdown_mo+1))</f>
        <v>3633.6009151291237</v>
      </c>
    </row>
    <row r="25" spans="1:123" x14ac:dyDescent="0.35">
      <c r="A25" s="54"/>
      <c r="B25" s="54" t="s">
        <v>117</v>
      </c>
      <c r="C25" s="53" cm="1">
        <f t="array" ref="C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D25" s="53" cm="1">
        <f t="array" ref="D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E25" s="53" cm="1">
        <f t="array" ref="E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F25" s="53" cm="1">
        <f t="array" ref="F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G25" s="53" cm="1">
        <f t="array" ref="G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H25" s="53" cm="1">
        <f t="array" ref="H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I25" s="53" cm="1">
        <f t="array" ref="I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J25" s="53" cm="1">
        <f t="array" ref="J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K25" s="53" cm="1">
        <f t="array" ref="K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L25" s="53" cm="1">
        <f t="array" ref="L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M25" s="53" cm="1">
        <f t="array" ref="M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N25" s="53" cm="1">
        <f t="array" ref="N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O25" s="53" cm="1">
        <f t="array" ref="O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0</v>
      </c>
      <c r="P25" s="53" cm="1">
        <f t="array" ref="P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400</v>
      </c>
      <c r="Q25" s="53" cm="1">
        <f t="array" ref="Q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404</v>
      </c>
      <c r="R25" s="53" cm="1">
        <f t="array" ref="R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408.04</v>
      </c>
      <c r="S25" s="53" cm="1">
        <f t="array" ref="S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412.12039999999996</v>
      </c>
      <c r="T25" s="53" cm="1">
        <f t="array" ref="T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416.241604</v>
      </c>
      <c r="U25" s="53" cm="1">
        <f t="array" ref="U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420.40402003999998</v>
      </c>
      <c r="V25" s="53" cm="1">
        <f t="array" ref="V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424.60806024040005</v>
      </c>
      <c r="W25" s="53" cm="1">
        <f t="array" ref="W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428.85414084280393</v>
      </c>
      <c r="X25" s="53" cm="1">
        <f t="array" ref="X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433.14268225123209</v>
      </c>
      <c r="Y25" s="53" cm="1">
        <f t="array" ref="Y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437.47410907374444</v>
      </c>
      <c r="Z25" s="53" cm="1">
        <f t="array" ref="Z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441.84885016448192</v>
      </c>
      <c r="AA25" s="53" cm="1">
        <f t="array" ref="AA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446.26733866612665</v>
      </c>
      <c r="AB25" s="53" cm="1">
        <f t="array" ref="AB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450.73001205278791</v>
      </c>
      <c r="AC25" s="53" cm="1">
        <f t="array" ref="AC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455.23731217331579</v>
      </c>
      <c r="AD25" s="53" cm="1">
        <f t="array" ref="AD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459.78968529504903</v>
      </c>
      <c r="AE25" s="53" cm="1">
        <f t="array" ref="AE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464.38758214799935</v>
      </c>
      <c r="AF25" s="53" cm="1">
        <f t="array" ref="AF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469.0314579694795</v>
      </c>
      <c r="AG25" s="53" cm="1">
        <f t="array" ref="AG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473.72177254917432</v>
      </c>
      <c r="AH25" s="53" cm="1">
        <f t="array" ref="AH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478.45899027466612</v>
      </c>
      <c r="AI25" s="53" cm="1">
        <f t="array" ref="AI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483.24358017741264</v>
      </c>
      <c r="AJ25" s="53" cm="1">
        <f t="array" ref="AJ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488.07601597918682</v>
      </c>
      <c r="AK25" s="53" cm="1">
        <f t="array" ref="AK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492.95677613897863</v>
      </c>
      <c r="AL25" s="53" cm="1">
        <f t="array" ref="AL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497.88634390036856</v>
      </c>
      <c r="AM25" s="53" cm="1">
        <f t="array" ref="AM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502.86520733937215</v>
      </c>
      <c r="AN25" s="53" cm="1">
        <f t="array" ref="AN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507.89385941276601</v>
      </c>
      <c r="AO25" s="53" cm="1">
        <f t="array" ref="AO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512.97279800689375</v>
      </c>
      <c r="AP25" s="53" cm="1">
        <f t="array" ref="AP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518.10252598696263</v>
      </c>
      <c r="AQ25" s="53" cm="1">
        <f t="array" ref="AQ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523.28355124683208</v>
      </c>
      <c r="AR25" s="53" cm="1">
        <f t="array" ref="AR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528.51638675930042</v>
      </c>
      <c r="AS25" s="53" cm="1">
        <f t="array" ref="AS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533.80155062689346</v>
      </c>
      <c r="AT25" s="53" cm="1">
        <f t="array" ref="AT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539.13956613316248</v>
      </c>
      <c r="AU25" s="53" cm="1">
        <f t="array" ref="AU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544.53096179449392</v>
      </c>
      <c r="AV25" s="53" cm="1">
        <f t="array" ref="AV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549.97627141243902</v>
      </c>
      <c r="AW25" s="53" cm="1">
        <f t="array" ref="AW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555.47603412656349</v>
      </c>
      <c r="AX25" s="53" cm="1">
        <f t="array" ref="AX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561.03079446782908</v>
      </c>
      <c r="AY25" s="53" cm="1">
        <f t="array" ref="AY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566.64110241250728</v>
      </c>
      <c r="AZ25" s="53" cm="1">
        <f t="array" ref="AZ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572.30751343663235</v>
      </c>
      <c r="BA25" s="53" cm="1">
        <f t="array" ref="BA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578.0305885709987</v>
      </c>
      <c r="BB25" s="53" cm="1">
        <f t="array" ref="BB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583.81089445670875</v>
      </c>
      <c r="BC25" s="53" cm="1">
        <f t="array" ref="BC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589.64900340127565</v>
      </c>
      <c r="BD25" s="53" cm="1">
        <f t="array" ref="BD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595.54549343528856</v>
      </c>
      <c r="BE25" s="53" cm="1">
        <f t="array" ref="BE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601.50094836964149</v>
      </c>
      <c r="BF25" s="53" cm="1">
        <f t="array" ref="BF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607.51595785333802</v>
      </c>
      <c r="BG25" s="53" cm="1">
        <f t="array" ref="BG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613.59111743187123</v>
      </c>
      <c r="BH25" s="53" cm="1">
        <f t="array" ref="BH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619.72702860618995</v>
      </c>
      <c r="BI25" s="53" cm="1">
        <f t="array" ref="BI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625.92429889225195</v>
      </c>
      <c r="BJ25" s="53" cm="1">
        <f t="array" ref="BJ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632.18354188117451</v>
      </c>
      <c r="BK25" s="53" cm="1">
        <f t="array" ref="BK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638.50537729998609</v>
      </c>
      <c r="BL25" s="53" cm="1">
        <f t="array" ref="BL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644.89043107298608</v>
      </c>
      <c r="BM25" s="53" cm="1">
        <f t="array" ref="BM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651.33933538371605</v>
      </c>
      <c r="BN25" s="53" cm="1">
        <f t="array" ref="BN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657.85272873755321</v>
      </c>
      <c r="BO25" s="53" cm="1">
        <f t="array" ref="BO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664.43125602492864</v>
      </c>
      <c r="BP25" s="53" cm="1">
        <f t="array" ref="BP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671.07556858517796</v>
      </c>
      <c r="BQ25" s="53" cm="1">
        <f t="array" ref="BQ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677.78632427102957</v>
      </c>
      <c r="BR25" s="53" cm="1">
        <f t="array" ref="BR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684.56418751374008</v>
      </c>
      <c r="BS25" s="53" cm="1">
        <f t="array" ref="BS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691.40982938887737</v>
      </c>
      <c r="BT25" s="53" cm="1">
        <f t="array" ref="BT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698.32392768276634</v>
      </c>
      <c r="BU25" s="53" cm="1">
        <f t="array" ref="BU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705.30716695959404</v>
      </c>
      <c r="BV25" s="53" cm="1">
        <f t="array" ref="BV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712.36023862919001</v>
      </c>
      <c r="BW25" s="53" cm="1">
        <f t="array" ref="BW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719.48384101548163</v>
      </c>
      <c r="BX25" s="53" cm="1">
        <f t="array" ref="BX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723.08126022055899</v>
      </c>
      <c r="BY25" s="53" cm="1">
        <f t="array" ref="BY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726.69666652166165</v>
      </c>
      <c r="BZ25" s="53" cm="1">
        <f t="array" ref="BZ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730.33014985426985</v>
      </c>
      <c r="CA25" s="53" cm="1">
        <f t="array" ref="CA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733.98180060354105</v>
      </c>
      <c r="CB25" s="53" cm="1">
        <f t="array" ref="CB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737.6517096065586</v>
      </c>
      <c r="CC25" s="53" cm="1">
        <f t="array" ref="CC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741.33996815459125</v>
      </c>
      <c r="CD25" s="53" cm="1">
        <f t="array" ref="CD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745.04666799536415</v>
      </c>
      <c r="CE25" s="53" cm="1">
        <f t="array" ref="CE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748.77190133534089</v>
      </c>
      <c r="CF25" s="53" cm="1">
        <f t="array" ref="CF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752.51576084201758</v>
      </c>
      <c r="CG25" s="53" cm="1">
        <f t="array" ref="CG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756.27833964622755</v>
      </c>
      <c r="CH25" s="53" cm="1">
        <f t="array" ref="CH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760.05973134445856</v>
      </c>
      <c r="CI25" s="53" cm="1">
        <f t="array" ref="CI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763.86003000118058</v>
      </c>
      <c r="CJ25" s="53" cm="1">
        <f t="array" ref="CJ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767.67933015118649</v>
      </c>
      <c r="CK25" s="53" cm="1">
        <f t="array" ref="CK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771.51772680194222</v>
      </c>
      <c r="CL25" s="53" cm="1">
        <f t="array" ref="CL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775.37531543595173</v>
      </c>
      <c r="CM25" s="53" cm="1">
        <f t="array" ref="CM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779.25219201313143</v>
      </c>
      <c r="CN25" s="53" cm="1">
        <f t="array" ref="CN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783.1484529731971</v>
      </c>
      <c r="CO25" s="53" cm="1">
        <f t="array" ref="CO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787.06419523806278</v>
      </c>
      <c r="CP25" s="53" cm="1">
        <f t="array" ref="CP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790.99951621425305</v>
      </c>
      <c r="CQ25" s="53" cm="1">
        <f t="array" ref="CQ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794.95451379532426</v>
      </c>
      <c r="CR25" s="53" cm="1">
        <f t="array" ref="CR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798.92928636430065</v>
      </c>
      <c r="CS25" s="53" cm="1">
        <f t="array" ref="CS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802.92393279612202</v>
      </c>
      <c r="CT25" s="53" cm="1">
        <f t="array" ref="CT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806.93855246010253</v>
      </c>
      <c r="CU25" s="53" cm="1">
        <f t="array" ref="CU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810.97324522240308</v>
      </c>
      <c r="CV25" s="53" cm="1">
        <f t="array" ref="CV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815.02811144851489</v>
      </c>
      <c r="CW25" s="53" cm="1">
        <f t="array" ref="CW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819.10325200575744</v>
      </c>
      <c r="CX25" s="53" cm="1">
        <f t="array" ref="CX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823.19876826578604</v>
      </c>
      <c r="CY25" s="53" cm="1">
        <f t="array" ref="CY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827.3147621071148</v>
      </c>
      <c r="CZ25" s="53" cm="1">
        <f t="array" ref="CZ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831.45133591765023</v>
      </c>
      <c r="DA25" s="53" cm="1">
        <f t="array" ref="DA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835.60859259723838</v>
      </c>
      <c r="DB25" s="53" cm="1">
        <f t="array" ref="DB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839.78663556022434</v>
      </c>
      <c r="DC25" s="53" cm="1">
        <f t="array" ref="DC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843.98556873802534</v>
      </c>
      <c r="DD25" s="53" cm="1">
        <f t="array" ref="DD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848.20549658171535</v>
      </c>
      <c r="DE25" s="53" cm="1">
        <f t="array" ref="DE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852.44652406462387</v>
      </c>
      <c r="DF25" s="53" cm="1">
        <f t="array" ref="DF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856.70875668494693</v>
      </c>
      <c r="DG25" s="53" cm="1">
        <f t="array" ref="DG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860.99230046837135</v>
      </c>
      <c r="DH25" s="53" cm="1">
        <f t="array" ref="DH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865.29726197071307</v>
      </c>
      <c r="DI25" s="53" cm="1">
        <f t="array" ref="DI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869.62374828056659</v>
      </c>
      <c r="DJ25" s="53" cm="1">
        <f t="array" ref="DJ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873.97186702196927</v>
      </c>
      <c r="DK25" s="53" cm="1">
        <f t="array" ref="DK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878.3417263570791</v>
      </c>
      <c r="DL25" s="53" cm="1">
        <f t="array" ref="DL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882.73343498886436</v>
      </c>
      <c r="DM25" s="53" cm="1">
        <f t="array" ref="DM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887.14710216380843</v>
      </c>
      <c r="DN25" s="53" cm="1">
        <f t="array" ref="DN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891.58283767462751</v>
      </c>
      <c r="DO25" s="53" cm="1">
        <f t="array" ref="DO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896.04075186300042</v>
      </c>
      <c r="DP25" s="53" cm="1">
        <f t="array" ref="DP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900.52095562231523</v>
      </c>
      <c r="DQ25" s="53" cm="1">
        <f t="array" ref="DQ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905.02356040042673</v>
      </c>
      <c r="DR25" s="53" cm="1">
        <f t="array" ref="DR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909.5486782024285</v>
      </c>
      <c r="DS25" s="53" cm="1">
        <f t="array" ref="DS25">_xlfn.IFS(_xlfn.SINGLE(Month)&lt;ops_start_mo,0,
_xlfn.SINGLE(Month)&lt;ops_slowdown_mo,
prem_initial*POWER(1+prem_growth,_xlfn.SINGLE(Month)-ops_start_mo),
_xlfn.SINGLE(Month)&gt;=ops_slowdown_mo,
prem_initial*POWER(1+prem_growth,ops_slowdown_mo-ops_start_mo-1)*POWER(1+growth_rate_slow,_xlfn.SINGLE(Month)-ops_slowdown_mo+1))</f>
        <v>914.0964215934406</v>
      </c>
    </row>
    <row r="26" spans="1:123" x14ac:dyDescent="0.35">
      <c r="A26" s="54"/>
      <c r="B26" s="54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</row>
    <row r="27" spans="1:123" x14ac:dyDescent="0.35">
      <c r="A27" s="49"/>
      <c r="B27" s="49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</row>
    <row r="28" spans="1:123" x14ac:dyDescent="0.35">
      <c r="A28" s="51"/>
      <c r="B28" s="51" t="s">
        <v>135</v>
      </c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</row>
    <row r="29" spans="1:123" x14ac:dyDescent="0.35">
      <c r="A29" s="49"/>
      <c r="B29" s="49" t="s">
        <v>118</v>
      </c>
      <c r="C29" s="50" cm="1">
        <f t="array" ref="C29">_xlfn.IFS(_xlfn.SINGLE(Month)&lt;ops_start_mo,0,
_xlfn.SINGLE(Month)&gt;=ops_start_mo,base_cost_kWh*POWER(1+inflation_electricity,QUOTIENT(_xlfn.SINGLE(Month)-ops_start_mo, 12)))</f>
        <v>0</v>
      </c>
      <c r="D29" s="50" cm="1">
        <f t="array" ref="D29">_xlfn.IFS(_xlfn.SINGLE(Month)&lt;ops_start_mo,0,
_xlfn.SINGLE(Month)&gt;=ops_start_mo,
base_cost_kWh*POWER(1+inflation_electricity,QUOTIENT(_xlfn.SINGLE(Month)-ops_start_mo, 12)))</f>
        <v>0</v>
      </c>
      <c r="E29" s="50" cm="1">
        <f t="array" ref="E29">_xlfn.IFS(_xlfn.SINGLE(Month)&lt;ops_start_mo,0,
_xlfn.SINGLE(Month)&gt;=ops_start_mo,
base_cost_kWh*POWER(1+inflation_electricity,QUOTIENT(_xlfn.SINGLE(Month)-ops_start_mo, 12)))</f>
        <v>0</v>
      </c>
      <c r="F29" s="50" cm="1">
        <f t="array" ref="F29">_xlfn.IFS(_xlfn.SINGLE(Month)&lt;ops_start_mo,0,
_xlfn.SINGLE(Month)&gt;=ops_start_mo,
base_cost_kWh*POWER(1+inflation_electricity,QUOTIENT(_xlfn.SINGLE(Month)-ops_start_mo, 12)))</f>
        <v>0</v>
      </c>
      <c r="G29" s="50" cm="1">
        <f t="array" ref="G29">_xlfn.IFS(_xlfn.SINGLE(Month)&lt;ops_start_mo,0,
_xlfn.SINGLE(Month)&gt;=ops_start_mo,
base_cost_kWh*POWER(1+inflation_electricity,QUOTIENT(_xlfn.SINGLE(Month)-ops_start_mo, 12)))</f>
        <v>0</v>
      </c>
      <c r="H29" s="50" cm="1">
        <f t="array" ref="H29">_xlfn.IFS(_xlfn.SINGLE(Month)&lt;ops_start_mo,0,
_xlfn.SINGLE(Month)&gt;=ops_start_mo,
base_cost_kWh*POWER(1+inflation_electricity,QUOTIENT(_xlfn.SINGLE(Month)-ops_start_mo, 12)))</f>
        <v>0</v>
      </c>
      <c r="I29" s="50" cm="1">
        <f t="array" ref="I29">_xlfn.IFS(_xlfn.SINGLE(Month)&lt;ops_start_mo,0,
_xlfn.SINGLE(Month)&gt;=ops_start_mo,
base_cost_kWh*POWER(1+inflation_electricity,QUOTIENT(_xlfn.SINGLE(Month)-ops_start_mo, 12)))</f>
        <v>0</v>
      </c>
      <c r="J29" s="50" cm="1">
        <f t="array" ref="J29">_xlfn.IFS(_xlfn.SINGLE(Month)&lt;ops_start_mo,0,
_xlfn.SINGLE(Month)&gt;=ops_start_mo,
base_cost_kWh*POWER(1+inflation_electricity,QUOTIENT(_xlfn.SINGLE(Month)-ops_start_mo, 12)))</f>
        <v>0</v>
      </c>
      <c r="K29" s="50" cm="1">
        <f t="array" ref="K29">_xlfn.IFS(_xlfn.SINGLE(Month)&lt;ops_start_mo,0,
_xlfn.SINGLE(Month)&gt;=ops_start_mo,
base_cost_kWh*POWER(1+inflation_electricity,QUOTIENT(_xlfn.SINGLE(Month)-ops_start_mo, 12)))</f>
        <v>0</v>
      </c>
      <c r="L29" s="50" cm="1">
        <f t="array" ref="L29">_xlfn.IFS(_xlfn.SINGLE(Month)&lt;ops_start_mo,0,
_xlfn.SINGLE(Month)&gt;=ops_start_mo,
base_cost_kWh*POWER(1+inflation_electricity,QUOTIENT(_xlfn.SINGLE(Month)-ops_start_mo, 12)))</f>
        <v>0</v>
      </c>
      <c r="M29" s="50" cm="1">
        <f t="array" ref="M29">_xlfn.IFS(_xlfn.SINGLE(Month)&lt;ops_start_mo,0,
_xlfn.SINGLE(Month)&gt;=ops_start_mo,
base_cost_kWh*POWER(1+inflation_electricity,QUOTIENT(_xlfn.SINGLE(Month)-ops_start_mo, 12)))</f>
        <v>0</v>
      </c>
      <c r="N29" s="50" cm="1">
        <f t="array" ref="N29">_xlfn.IFS(_xlfn.SINGLE(Month)&lt;ops_start_mo,0,
_xlfn.SINGLE(Month)&gt;=ops_start_mo,
base_cost_kWh*POWER(1+inflation_electricity,QUOTIENT(_xlfn.SINGLE(Month)-ops_start_mo, 12)))</f>
        <v>0</v>
      </c>
      <c r="O29" s="50" cm="1">
        <f t="array" ref="O29">_xlfn.IFS(_xlfn.SINGLE(Month)&lt;ops_start_mo,0,
_xlfn.SINGLE(Month)&gt;=ops_start_mo,
base_cost_kWh*POWER(1+inflation_electricity,QUOTIENT(_xlfn.SINGLE(Month)-ops_start_mo, 12)))</f>
        <v>0</v>
      </c>
      <c r="P29" s="50" cm="1">
        <f t="array" ref="P29">_xlfn.IFS(_xlfn.SINGLE(Month)&lt;ops_start_mo,0,
_xlfn.SINGLE(Month)&gt;=ops_start_mo,
base_cost_kWh*POWER(1+inflation_electricity,QUOTIENT(_xlfn.SINGLE(Month)-ops_start_mo, 12)))</f>
        <v>0.15</v>
      </c>
      <c r="Q29" s="50" cm="1">
        <f t="array" ref="Q29">_xlfn.IFS(_xlfn.SINGLE(Month)&lt;ops_start_mo,0,
_xlfn.SINGLE(Month)&gt;=ops_start_mo,
base_cost_kWh*POWER(1+inflation_electricity,QUOTIENT(_xlfn.SINGLE(Month)-ops_start_mo, 12)))</f>
        <v>0.15</v>
      </c>
      <c r="R29" s="50" cm="1">
        <f t="array" ref="R29">_xlfn.IFS(_xlfn.SINGLE(Month)&lt;ops_start_mo,0,
_xlfn.SINGLE(Month)&gt;=ops_start_mo,
base_cost_kWh*POWER(1+inflation_electricity,QUOTIENT(_xlfn.SINGLE(Month)-ops_start_mo, 12)))</f>
        <v>0.15</v>
      </c>
      <c r="S29" s="50" cm="1">
        <f t="array" ref="S29">_xlfn.IFS(_xlfn.SINGLE(Month)&lt;ops_start_mo,0,
_xlfn.SINGLE(Month)&gt;=ops_start_mo,
base_cost_kWh*POWER(1+inflation_electricity,QUOTIENT(_xlfn.SINGLE(Month)-ops_start_mo, 12)))</f>
        <v>0.15</v>
      </c>
      <c r="T29" s="50" cm="1">
        <f t="array" ref="T29">_xlfn.IFS(_xlfn.SINGLE(Month)&lt;ops_start_mo,0,
_xlfn.SINGLE(Month)&gt;=ops_start_mo,
base_cost_kWh*POWER(1+inflation_electricity,QUOTIENT(_xlfn.SINGLE(Month)-ops_start_mo, 12)))</f>
        <v>0.15</v>
      </c>
      <c r="U29" s="50" cm="1">
        <f t="array" ref="U29">_xlfn.IFS(_xlfn.SINGLE(Month)&lt;ops_start_mo,0,
_xlfn.SINGLE(Month)&gt;=ops_start_mo,
base_cost_kWh*POWER(1+inflation_electricity,QUOTIENT(_xlfn.SINGLE(Month)-ops_start_mo, 12)))</f>
        <v>0.15</v>
      </c>
      <c r="V29" s="50" cm="1">
        <f t="array" ref="V29">_xlfn.IFS(_xlfn.SINGLE(Month)&lt;ops_start_mo,0,
_xlfn.SINGLE(Month)&gt;=ops_start_mo,
base_cost_kWh*POWER(1+inflation_electricity,QUOTIENT(_xlfn.SINGLE(Month)-ops_start_mo, 12)))</f>
        <v>0.15</v>
      </c>
      <c r="W29" s="50" cm="1">
        <f t="array" ref="W29">_xlfn.IFS(_xlfn.SINGLE(Month)&lt;ops_start_mo,0,
_xlfn.SINGLE(Month)&gt;=ops_start_mo,
base_cost_kWh*POWER(1+inflation_electricity,QUOTIENT(_xlfn.SINGLE(Month)-ops_start_mo, 12)))</f>
        <v>0.15</v>
      </c>
      <c r="X29" s="50" cm="1">
        <f t="array" ref="X29">_xlfn.IFS(_xlfn.SINGLE(Month)&lt;ops_start_mo,0,
_xlfn.SINGLE(Month)&gt;=ops_start_mo,
base_cost_kWh*POWER(1+inflation_electricity,QUOTIENT(_xlfn.SINGLE(Month)-ops_start_mo, 12)))</f>
        <v>0.15</v>
      </c>
      <c r="Y29" s="50" cm="1">
        <f t="array" ref="Y29">_xlfn.IFS(_xlfn.SINGLE(Month)&lt;ops_start_mo,0,
_xlfn.SINGLE(Month)&gt;=ops_start_mo,
base_cost_kWh*POWER(1+inflation_electricity,QUOTIENT(_xlfn.SINGLE(Month)-ops_start_mo, 12)))</f>
        <v>0.15</v>
      </c>
      <c r="Z29" s="50" cm="1">
        <f t="array" ref="Z29">_xlfn.IFS(_xlfn.SINGLE(Month)&lt;ops_start_mo,0,
_xlfn.SINGLE(Month)&gt;=ops_start_mo,
base_cost_kWh*POWER(1+inflation_electricity,QUOTIENT(_xlfn.SINGLE(Month)-ops_start_mo, 12)))</f>
        <v>0.15</v>
      </c>
      <c r="AA29" s="50" cm="1">
        <f t="array" ref="AA29">_xlfn.IFS(_xlfn.SINGLE(Month)&lt;ops_start_mo,0,
_xlfn.SINGLE(Month)&gt;=ops_start_mo,
base_cost_kWh*POWER(1+inflation_electricity,QUOTIENT(_xlfn.SINGLE(Month)-ops_start_mo, 12)))</f>
        <v>0.15</v>
      </c>
      <c r="AB29" s="50" cm="1">
        <f t="array" ref="AB29">_xlfn.IFS(_xlfn.SINGLE(Month)&lt;ops_start_mo,0,
_xlfn.SINGLE(Month)&gt;=ops_start_mo,
base_cost_kWh*POWER(1+inflation_electricity,QUOTIENT(_xlfn.SINGLE(Month)-ops_start_mo, 12)))</f>
        <v>0.1545</v>
      </c>
      <c r="AC29" s="50" cm="1">
        <f t="array" ref="AC29">_xlfn.IFS(_xlfn.SINGLE(Month)&lt;ops_start_mo,0,
_xlfn.SINGLE(Month)&gt;=ops_start_mo,
base_cost_kWh*POWER(1+inflation_electricity,QUOTIENT(_xlfn.SINGLE(Month)-ops_start_mo, 12)))</f>
        <v>0.1545</v>
      </c>
      <c r="AD29" s="50" cm="1">
        <f t="array" ref="AD29">_xlfn.IFS(_xlfn.SINGLE(Month)&lt;ops_start_mo,0,
_xlfn.SINGLE(Month)&gt;=ops_start_mo,
base_cost_kWh*POWER(1+inflation_electricity,QUOTIENT(_xlfn.SINGLE(Month)-ops_start_mo, 12)))</f>
        <v>0.1545</v>
      </c>
      <c r="AE29" s="50" cm="1">
        <f t="array" ref="AE29">_xlfn.IFS(_xlfn.SINGLE(Month)&lt;ops_start_mo,0,
_xlfn.SINGLE(Month)&gt;=ops_start_mo,
base_cost_kWh*POWER(1+inflation_electricity,QUOTIENT(_xlfn.SINGLE(Month)-ops_start_mo, 12)))</f>
        <v>0.1545</v>
      </c>
      <c r="AF29" s="50" cm="1">
        <f t="array" ref="AF29">_xlfn.IFS(_xlfn.SINGLE(Month)&lt;ops_start_mo,0,
_xlfn.SINGLE(Month)&gt;=ops_start_mo,
base_cost_kWh*POWER(1+inflation_electricity,QUOTIENT(_xlfn.SINGLE(Month)-ops_start_mo, 12)))</f>
        <v>0.1545</v>
      </c>
      <c r="AG29" s="50" cm="1">
        <f t="array" ref="AG29">_xlfn.IFS(_xlfn.SINGLE(Month)&lt;ops_start_mo,0,
_xlfn.SINGLE(Month)&gt;=ops_start_mo,
base_cost_kWh*POWER(1+inflation_electricity,QUOTIENT(_xlfn.SINGLE(Month)-ops_start_mo, 12)))</f>
        <v>0.1545</v>
      </c>
      <c r="AH29" s="50" cm="1">
        <f t="array" ref="AH29">_xlfn.IFS(_xlfn.SINGLE(Month)&lt;ops_start_mo,0,
_xlfn.SINGLE(Month)&gt;=ops_start_mo,
base_cost_kWh*POWER(1+inflation_electricity,QUOTIENT(_xlfn.SINGLE(Month)-ops_start_mo, 12)))</f>
        <v>0.1545</v>
      </c>
      <c r="AI29" s="50" cm="1">
        <f t="array" ref="AI29">_xlfn.IFS(_xlfn.SINGLE(Month)&lt;ops_start_mo,0,
_xlfn.SINGLE(Month)&gt;=ops_start_mo,
base_cost_kWh*POWER(1+inflation_electricity,QUOTIENT(_xlfn.SINGLE(Month)-ops_start_mo, 12)))</f>
        <v>0.1545</v>
      </c>
      <c r="AJ29" s="50" cm="1">
        <f t="array" ref="AJ29">_xlfn.IFS(_xlfn.SINGLE(Month)&lt;ops_start_mo,0,
_xlfn.SINGLE(Month)&gt;=ops_start_mo,
base_cost_kWh*POWER(1+inflation_electricity,QUOTIENT(_xlfn.SINGLE(Month)-ops_start_mo, 12)))</f>
        <v>0.1545</v>
      </c>
      <c r="AK29" s="50" cm="1">
        <f t="array" ref="AK29">_xlfn.IFS(_xlfn.SINGLE(Month)&lt;ops_start_mo,0,
_xlfn.SINGLE(Month)&gt;=ops_start_mo,
base_cost_kWh*POWER(1+inflation_electricity,QUOTIENT(_xlfn.SINGLE(Month)-ops_start_mo, 12)))</f>
        <v>0.1545</v>
      </c>
      <c r="AL29" s="50" cm="1">
        <f t="array" ref="AL29">_xlfn.IFS(_xlfn.SINGLE(Month)&lt;ops_start_mo,0,
_xlfn.SINGLE(Month)&gt;=ops_start_mo,
base_cost_kWh*POWER(1+inflation_electricity,QUOTIENT(_xlfn.SINGLE(Month)-ops_start_mo, 12)))</f>
        <v>0.1545</v>
      </c>
      <c r="AM29" s="50" cm="1">
        <f t="array" ref="AM29">_xlfn.IFS(_xlfn.SINGLE(Month)&lt;ops_start_mo,0,
_xlfn.SINGLE(Month)&gt;=ops_start_mo,
base_cost_kWh*POWER(1+inflation_electricity,QUOTIENT(_xlfn.SINGLE(Month)-ops_start_mo, 12)))</f>
        <v>0.1545</v>
      </c>
      <c r="AN29" s="50" cm="1">
        <f t="array" ref="AN29">_xlfn.IFS(_xlfn.SINGLE(Month)&lt;ops_start_mo,0,
_xlfn.SINGLE(Month)&gt;=ops_start_mo,
base_cost_kWh*POWER(1+inflation_electricity,QUOTIENT(_xlfn.SINGLE(Month)-ops_start_mo, 12)))</f>
        <v>0.159135</v>
      </c>
      <c r="AO29" s="50" cm="1">
        <f t="array" ref="AO29">_xlfn.IFS(_xlfn.SINGLE(Month)&lt;ops_start_mo,0,
_xlfn.SINGLE(Month)&gt;=ops_start_mo,
base_cost_kWh*POWER(1+inflation_electricity,QUOTIENT(_xlfn.SINGLE(Month)-ops_start_mo, 12)))</f>
        <v>0.159135</v>
      </c>
      <c r="AP29" s="50" cm="1">
        <f t="array" ref="AP29">_xlfn.IFS(_xlfn.SINGLE(Month)&lt;ops_start_mo,0,
_xlfn.SINGLE(Month)&gt;=ops_start_mo,
base_cost_kWh*POWER(1+inflation_electricity,QUOTIENT(_xlfn.SINGLE(Month)-ops_start_mo, 12)))</f>
        <v>0.159135</v>
      </c>
      <c r="AQ29" s="50" cm="1">
        <f t="array" ref="AQ29">_xlfn.IFS(_xlfn.SINGLE(Month)&lt;ops_start_mo,0,
_xlfn.SINGLE(Month)&gt;=ops_start_mo,
base_cost_kWh*POWER(1+inflation_electricity,QUOTIENT(_xlfn.SINGLE(Month)-ops_start_mo, 12)))</f>
        <v>0.159135</v>
      </c>
      <c r="AR29" s="50" cm="1">
        <f t="array" ref="AR29">_xlfn.IFS(_xlfn.SINGLE(Month)&lt;ops_start_mo,0,
_xlfn.SINGLE(Month)&gt;=ops_start_mo,
base_cost_kWh*POWER(1+inflation_electricity,QUOTIENT(_xlfn.SINGLE(Month)-ops_start_mo, 12)))</f>
        <v>0.159135</v>
      </c>
      <c r="AS29" s="50" cm="1">
        <f t="array" ref="AS29">_xlfn.IFS(_xlfn.SINGLE(Month)&lt;ops_start_mo,0,
_xlfn.SINGLE(Month)&gt;=ops_start_mo,
base_cost_kWh*POWER(1+inflation_electricity,QUOTIENT(_xlfn.SINGLE(Month)-ops_start_mo, 12)))</f>
        <v>0.159135</v>
      </c>
      <c r="AT29" s="50" cm="1">
        <f t="array" ref="AT29">_xlfn.IFS(_xlfn.SINGLE(Month)&lt;ops_start_mo,0,
_xlfn.SINGLE(Month)&gt;=ops_start_mo,
base_cost_kWh*POWER(1+inflation_electricity,QUOTIENT(_xlfn.SINGLE(Month)-ops_start_mo, 12)))</f>
        <v>0.159135</v>
      </c>
      <c r="AU29" s="50" cm="1">
        <f t="array" ref="AU29">_xlfn.IFS(_xlfn.SINGLE(Month)&lt;ops_start_mo,0,
_xlfn.SINGLE(Month)&gt;=ops_start_mo,
base_cost_kWh*POWER(1+inflation_electricity,QUOTIENT(_xlfn.SINGLE(Month)-ops_start_mo, 12)))</f>
        <v>0.159135</v>
      </c>
      <c r="AV29" s="50" cm="1">
        <f t="array" ref="AV29">_xlfn.IFS(_xlfn.SINGLE(Month)&lt;ops_start_mo,0,
_xlfn.SINGLE(Month)&gt;=ops_start_mo,
base_cost_kWh*POWER(1+inflation_electricity,QUOTIENT(_xlfn.SINGLE(Month)-ops_start_mo, 12)))</f>
        <v>0.159135</v>
      </c>
      <c r="AW29" s="50" cm="1">
        <f t="array" ref="AW29">_xlfn.IFS(_xlfn.SINGLE(Month)&lt;ops_start_mo,0,
_xlfn.SINGLE(Month)&gt;=ops_start_mo,
base_cost_kWh*POWER(1+inflation_electricity,QUOTIENT(_xlfn.SINGLE(Month)-ops_start_mo, 12)))</f>
        <v>0.159135</v>
      </c>
      <c r="AX29" s="50" cm="1">
        <f t="array" ref="AX29">_xlfn.IFS(_xlfn.SINGLE(Month)&lt;ops_start_mo,0,
_xlfn.SINGLE(Month)&gt;=ops_start_mo,
base_cost_kWh*POWER(1+inflation_electricity,QUOTIENT(_xlfn.SINGLE(Month)-ops_start_mo, 12)))</f>
        <v>0.159135</v>
      </c>
      <c r="AY29" s="50" cm="1">
        <f t="array" ref="AY29">_xlfn.IFS(_xlfn.SINGLE(Month)&lt;ops_start_mo,0,
_xlfn.SINGLE(Month)&gt;=ops_start_mo,
base_cost_kWh*POWER(1+inflation_electricity,QUOTIENT(_xlfn.SINGLE(Month)-ops_start_mo, 12)))</f>
        <v>0.159135</v>
      </c>
      <c r="AZ29" s="50" cm="1">
        <f t="array" ref="AZ29">_xlfn.IFS(_xlfn.SINGLE(Month)&lt;ops_start_mo,0,
_xlfn.SINGLE(Month)&gt;=ops_start_mo,
base_cost_kWh*POWER(1+inflation_electricity,QUOTIENT(_xlfn.SINGLE(Month)-ops_start_mo, 12)))</f>
        <v>0.16390905</v>
      </c>
      <c r="BA29" s="50" cm="1">
        <f t="array" ref="BA29">_xlfn.IFS(_xlfn.SINGLE(Month)&lt;ops_start_mo,0,
_xlfn.SINGLE(Month)&gt;=ops_start_mo,
base_cost_kWh*POWER(1+inflation_electricity,QUOTIENT(_xlfn.SINGLE(Month)-ops_start_mo, 12)))</f>
        <v>0.16390905</v>
      </c>
      <c r="BB29" s="50" cm="1">
        <f t="array" ref="BB29">_xlfn.IFS(_xlfn.SINGLE(Month)&lt;ops_start_mo,0,
_xlfn.SINGLE(Month)&gt;=ops_start_mo,
base_cost_kWh*POWER(1+inflation_electricity,QUOTIENT(_xlfn.SINGLE(Month)-ops_start_mo, 12)))</f>
        <v>0.16390905</v>
      </c>
      <c r="BC29" s="50" cm="1">
        <f t="array" ref="BC29">_xlfn.IFS(_xlfn.SINGLE(Month)&lt;ops_start_mo,0,
_xlfn.SINGLE(Month)&gt;=ops_start_mo,
base_cost_kWh*POWER(1+inflation_electricity,QUOTIENT(_xlfn.SINGLE(Month)-ops_start_mo, 12)))</f>
        <v>0.16390905</v>
      </c>
      <c r="BD29" s="50" cm="1">
        <f t="array" ref="BD29">_xlfn.IFS(_xlfn.SINGLE(Month)&lt;ops_start_mo,0,
_xlfn.SINGLE(Month)&gt;=ops_start_mo,
base_cost_kWh*POWER(1+inflation_electricity,QUOTIENT(_xlfn.SINGLE(Month)-ops_start_mo, 12)))</f>
        <v>0.16390905</v>
      </c>
      <c r="BE29" s="50" cm="1">
        <f t="array" ref="BE29">_xlfn.IFS(_xlfn.SINGLE(Month)&lt;ops_start_mo,0,
_xlfn.SINGLE(Month)&gt;=ops_start_mo,
base_cost_kWh*POWER(1+inflation_electricity,QUOTIENT(_xlfn.SINGLE(Month)-ops_start_mo, 12)))</f>
        <v>0.16390905</v>
      </c>
      <c r="BF29" s="50" cm="1">
        <f t="array" ref="BF29">_xlfn.IFS(_xlfn.SINGLE(Month)&lt;ops_start_mo,0,
_xlfn.SINGLE(Month)&gt;=ops_start_mo,
base_cost_kWh*POWER(1+inflation_electricity,QUOTIENT(_xlfn.SINGLE(Month)-ops_start_mo, 12)))</f>
        <v>0.16390905</v>
      </c>
      <c r="BG29" s="50" cm="1">
        <f t="array" ref="BG29">_xlfn.IFS(_xlfn.SINGLE(Month)&lt;ops_start_mo,0,
_xlfn.SINGLE(Month)&gt;=ops_start_mo,
base_cost_kWh*POWER(1+inflation_electricity,QUOTIENT(_xlfn.SINGLE(Month)-ops_start_mo, 12)))</f>
        <v>0.16390905</v>
      </c>
      <c r="BH29" s="50" cm="1">
        <f t="array" ref="BH29">_xlfn.IFS(_xlfn.SINGLE(Month)&lt;ops_start_mo,0,
_xlfn.SINGLE(Month)&gt;=ops_start_mo,
base_cost_kWh*POWER(1+inflation_electricity,QUOTIENT(_xlfn.SINGLE(Month)-ops_start_mo, 12)))</f>
        <v>0.16390905</v>
      </c>
      <c r="BI29" s="50" cm="1">
        <f t="array" ref="BI29">_xlfn.IFS(_xlfn.SINGLE(Month)&lt;ops_start_mo,0,
_xlfn.SINGLE(Month)&gt;=ops_start_mo,
base_cost_kWh*POWER(1+inflation_electricity,QUOTIENT(_xlfn.SINGLE(Month)-ops_start_mo, 12)))</f>
        <v>0.16390905</v>
      </c>
      <c r="BJ29" s="50" cm="1">
        <f t="array" ref="BJ29">_xlfn.IFS(_xlfn.SINGLE(Month)&lt;ops_start_mo,0,
_xlfn.SINGLE(Month)&gt;=ops_start_mo,
base_cost_kWh*POWER(1+inflation_electricity,QUOTIENT(_xlfn.SINGLE(Month)-ops_start_mo, 12)))</f>
        <v>0.16390905</v>
      </c>
      <c r="BK29" s="50" cm="1">
        <f t="array" ref="BK29">_xlfn.IFS(_xlfn.SINGLE(Month)&lt;ops_start_mo,0,
_xlfn.SINGLE(Month)&gt;=ops_start_mo,
base_cost_kWh*POWER(1+inflation_electricity,QUOTIENT(_xlfn.SINGLE(Month)-ops_start_mo, 12)))</f>
        <v>0.16390905</v>
      </c>
      <c r="BL29" s="50" cm="1">
        <f t="array" ref="BL29">_xlfn.IFS(_xlfn.SINGLE(Month)&lt;ops_start_mo,0,
_xlfn.SINGLE(Month)&gt;=ops_start_mo,
base_cost_kWh*POWER(1+inflation_electricity,QUOTIENT(_xlfn.SINGLE(Month)-ops_start_mo, 12)))</f>
        <v>0.16882632149999999</v>
      </c>
      <c r="BM29" s="50" cm="1">
        <f t="array" ref="BM29">_xlfn.IFS(_xlfn.SINGLE(Month)&lt;ops_start_mo,0,
_xlfn.SINGLE(Month)&gt;=ops_start_mo,
base_cost_kWh*POWER(1+inflation_electricity,QUOTIENT(_xlfn.SINGLE(Month)-ops_start_mo, 12)))</f>
        <v>0.16882632149999999</v>
      </c>
      <c r="BN29" s="50" cm="1">
        <f t="array" ref="BN29">_xlfn.IFS(_xlfn.SINGLE(Month)&lt;ops_start_mo,0,
_xlfn.SINGLE(Month)&gt;=ops_start_mo,
base_cost_kWh*POWER(1+inflation_electricity,QUOTIENT(_xlfn.SINGLE(Month)-ops_start_mo, 12)))</f>
        <v>0.16882632149999999</v>
      </c>
      <c r="BO29" s="50" cm="1">
        <f t="array" ref="BO29">_xlfn.IFS(_xlfn.SINGLE(Month)&lt;ops_start_mo,0,
_xlfn.SINGLE(Month)&gt;=ops_start_mo,
base_cost_kWh*POWER(1+inflation_electricity,QUOTIENT(_xlfn.SINGLE(Month)-ops_start_mo, 12)))</f>
        <v>0.16882632149999999</v>
      </c>
      <c r="BP29" s="50" cm="1">
        <f t="array" ref="BP29">_xlfn.IFS(_xlfn.SINGLE(Month)&lt;ops_start_mo,0,
_xlfn.SINGLE(Month)&gt;=ops_start_mo,
base_cost_kWh*POWER(1+inflation_electricity,QUOTIENT(_xlfn.SINGLE(Month)-ops_start_mo, 12)))</f>
        <v>0.16882632149999999</v>
      </c>
      <c r="BQ29" s="50" cm="1">
        <f t="array" ref="BQ29">_xlfn.IFS(_xlfn.SINGLE(Month)&lt;ops_start_mo,0,
_xlfn.SINGLE(Month)&gt;=ops_start_mo,
base_cost_kWh*POWER(1+inflation_electricity,QUOTIENT(_xlfn.SINGLE(Month)-ops_start_mo, 12)))</f>
        <v>0.16882632149999999</v>
      </c>
      <c r="BR29" s="50" cm="1">
        <f t="array" ref="BR29">_xlfn.IFS(_xlfn.SINGLE(Month)&lt;ops_start_mo,0,
_xlfn.SINGLE(Month)&gt;=ops_start_mo,
base_cost_kWh*POWER(1+inflation_electricity,QUOTIENT(_xlfn.SINGLE(Month)-ops_start_mo, 12)))</f>
        <v>0.16882632149999999</v>
      </c>
      <c r="BS29" s="50" cm="1">
        <f t="array" ref="BS29">_xlfn.IFS(_xlfn.SINGLE(Month)&lt;ops_start_mo,0,
_xlfn.SINGLE(Month)&gt;=ops_start_mo,
base_cost_kWh*POWER(1+inflation_electricity,QUOTIENT(_xlfn.SINGLE(Month)-ops_start_mo, 12)))</f>
        <v>0.16882632149999999</v>
      </c>
      <c r="BT29" s="50" cm="1">
        <f t="array" ref="BT29">_xlfn.IFS(_xlfn.SINGLE(Month)&lt;ops_start_mo,0,
_xlfn.SINGLE(Month)&gt;=ops_start_mo,
base_cost_kWh*POWER(1+inflation_electricity,QUOTIENT(_xlfn.SINGLE(Month)-ops_start_mo, 12)))</f>
        <v>0.16882632149999999</v>
      </c>
      <c r="BU29" s="50" cm="1">
        <f t="array" ref="BU29">_xlfn.IFS(_xlfn.SINGLE(Month)&lt;ops_start_mo,0,
_xlfn.SINGLE(Month)&gt;=ops_start_mo,
base_cost_kWh*POWER(1+inflation_electricity,QUOTIENT(_xlfn.SINGLE(Month)-ops_start_mo, 12)))</f>
        <v>0.16882632149999999</v>
      </c>
      <c r="BV29" s="50" cm="1">
        <f t="array" ref="BV29">_xlfn.IFS(_xlfn.SINGLE(Month)&lt;ops_start_mo,0,
_xlfn.SINGLE(Month)&gt;=ops_start_mo,
base_cost_kWh*POWER(1+inflation_electricity,QUOTIENT(_xlfn.SINGLE(Month)-ops_start_mo, 12)))</f>
        <v>0.16882632149999999</v>
      </c>
      <c r="BW29" s="50" cm="1">
        <f t="array" ref="BW29">_xlfn.IFS(_xlfn.SINGLE(Month)&lt;ops_start_mo,0,
_xlfn.SINGLE(Month)&gt;=ops_start_mo,
base_cost_kWh*POWER(1+inflation_electricity,QUOTIENT(_xlfn.SINGLE(Month)-ops_start_mo, 12)))</f>
        <v>0.16882632149999999</v>
      </c>
      <c r="BX29" s="50" cm="1">
        <f t="array" ref="BX29">_xlfn.IFS(_xlfn.SINGLE(Month)&lt;ops_start_mo,0,
_xlfn.SINGLE(Month)&gt;=ops_start_mo,
base_cost_kWh*POWER(1+inflation_electricity,QUOTIENT(_xlfn.SINGLE(Month)-ops_start_mo, 12)))</f>
        <v>0.17389111114499997</v>
      </c>
      <c r="BY29" s="50" cm="1">
        <f t="array" ref="BY29">_xlfn.IFS(_xlfn.SINGLE(Month)&lt;ops_start_mo,0,
_xlfn.SINGLE(Month)&gt;=ops_start_mo,
base_cost_kWh*POWER(1+inflation_electricity,QUOTIENT(_xlfn.SINGLE(Month)-ops_start_mo, 12)))</f>
        <v>0.17389111114499997</v>
      </c>
      <c r="BZ29" s="50" cm="1">
        <f t="array" ref="BZ29">_xlfn.IFS(_xlfn.SINGLE(Month)&lt;ops_start_mo,0,
_xlfn.SINGLE(Month)&gt;=ops_start_mo,
base_cost_kWh*POWER(1+inflation_electricity,QUOTIENT(_xlfn.SINGLE(Month)-ops_start_mo, 12)))</f>
        <v>0.17389111114499997</v>
      </c>
      <c r="CA29" s="50" cm="1">
        <f t="array" ref="CA29">_xlfn.IFS(_xlfn.SINGLE(Month)&lt;ops_start_mo,0,
_xlfn.SINGLE(Month)&gt;=ops_start_mo,
base_cost_kWh*POWER(1+inflation_electricity,QUOTIENT(_xlfn.SINGLE(Month)-ops_start_mo, 12)))</f>
        <v>0.17389111114499997</v>
      </c>
      <c r="CB29" s="50" cm="1">
        <f t="array" ref="CB29">_xlfn.IFS(_xlfn.SINGLE(Month)&lt;ops_start_mo,0,
_xlfn.SINGLE(Month)&gt;=ops_start_mo,
base_cost_kWh*POWER(1+inflation_electricity,QUOTIENT(_xlfn.SINGLE(Month)-ops_start_mo, 12)))</f>
        <v>0.17389111114499997</v>
      </c>
      <c r="CC29" s="50" cm="1">
        <f t="array" ref="CC29">_xlfn.IFS(_xlfn.SINGLE(Month)&lt;ops_start_mo,0,
_xlfn.SINGLE(Month)&gt;=ops_start_mo,
base_cost_kWh*POWER(1+inflation_electricity,QUOTIENT(_xlfn.SINGLE(Month)-ops_start_mo, 12)))</f>
        <v>0.17389111114499997</v>
      </c>
      <c r="CD29" s="50" cm="1">
        <f t="array" ref="CD29">_xlfn.IFS(_xlfn.SINGLE(Month)&lt;ops_start_mo,0,
_xlfn.SINGLE(Month)&gt;=ops_start_mo,
base_cost_kWh*POWER(1+inflation_electricity,QUOTIENT(_xlfn.SINGLE(Month)-ops_start_mo, 12)))</f>
        <v>0.17389111114499997</v>
      </c>
      <c r="CE29" s="50" cm="1">
        <f t="array" ref="CE29">_xlfn.IFS(_xlfn.SINGLE(Month)&lt;ops_start_mo,0,
_xlfn.SINGLE(Month)&gt;=ops_start_mo,
base_cost_kWh*POWER(1+inflation_electricity,QUOTIENT(_xlfn.SINGLE(Month)-ops_start_mo, 12)))</f>
        <v>0.17389111114499997</v>
      </c>
      <c r="CF29" s="50" cm="1">
        <f t="array" ref="CF29">_xlfn.IFS(_xlfn.SINGLE(Month)&lt;ops_start_mo,0,
_xlfn.SINGLE(Month)&gt;=ops_start_mo,
base_cost_kWh*POWER(1+inflation_electricity,QUOTIENT(_xlfn.SINGLE(Month)-ops_start_mo, 12)))</f>
        <v>0.17389111114499997</v>
      </c>
      <c r="CG29" s="50" cm="1">
        <f t="array" ref="CG29">_xlfn.IFS(_xlfn.SINGLE(Month)&lt;ops_start_mo,0,
_xlfn.SINGLE(Month)&gt;=ops_start_mo,
base_cost_kWh*POWER(1+inflation_electricity,QUOTIENT(_xlfn.SINGLE(Month)-ops_start_mo, 12)))</f>
        <v>0.17389111114499997</v>
      </c>
      <c r="CH29" s="50" cm="1">
        <f t="array" ref="CH29">_xlfn.IFS(_xlfn.SINGLE(Month)&lt;ops_start_mo,0,
_xlfn.SINGLE(Month)&gt;=ops_start_mo,
base_cost_kWh*POWER(1+inflation_electricity,QUOTIENT(_xlfn.SINGLE(Month)-ops_start_mo, 12)))</f>
        <v>0.17389111114499997</v>
      </c>
      <c r="CI29" s="50" cm="1">
        <f t="array" ref="CI29">_xlfn.IFS(_xlfn.SINGLE(Month)&lt;ops_start_mo,0,
_xlfn.SINGLE(Month)&gt;=ops_start_mo,
base_cost_kWh*POWER(1+inflation_electricity,QUOTIENT(_xlfn.SINGLE(Month)-ops_start_mo, 12)))</f>
        <v>0.17389111114499997</v>
      </c>
      <c r="CJ29" s="50" cm="1">
        <f t="array" ref="CJ29">_xlfn.IFS(_xlfn.SINGLE(Month)&lt;ops_start_mo,0,
_xlfn.SINGLE(Month)&gt;=ops_start_mo,
base_cost_kWh*POWER(1+inflation_electricity,QUOTIENT(_xlfn.SINGLE(Month)-ops_start_mo, 12)))</f>
        <v>0.17910784447934999</v>
      </c>
      <c r="CK29" s="50" cm="1">
        <f t="array" ref="CK29">_xlfn.IFS(_xlfn.SINGLE(Month)&lt;ops_start_mo,0,
_xlfn.SINGLE(Month)&gt;=ops_start_mo,
base_cost_kWh*POWER(1+inflation_electricity,QUOTIENT(_xlfn.SINGLE(Month)-ops_start_mo, 12)))</f>
        <v>0.17910784447934999</v>
      </c>
      <c r="CL29" s="50" cm="1">
        <f t="array" ref="CL29">_xlfn.IFS(_xlfn.SINGLE(Month)&lt;ops_start_mo,0,
_xlfn.SINGLE(Month)&gt;=ops_start_mo,
base_cost_kWh*POWER(1+inflation_electricity,QUOTIENT(_xlfn.SINGLE(Month)-ops_start_mo, 12)))</f>
        <v>0.17910784447934999</v>
      </c>
      <c r="CM29" s="50" cm="1">
        <f t="array" ref="CM29">_xlfn.IFS(_xlfn.SINGLE(Month)&lt;ops_start_mo,0,
_xlfn.SINGLE(Month)&gt;=ops_start_mo,
base_cost_kWh*POWER(1+inflation_electricity,QUOTIENT(_xlfn.SINGLE(Month)-ops_start_mo, 12)))</f>
        <v>0.17910784447934999</v>
      </c>
      <c r="CN29" s="50" cm="1">
        <f t="array" ref="CN29">_xlfn.IFS(_xlfn.SINGLE(Month)&lt;ops_start_mo,0,
_xlfn.SINGLE(Month)&gt;=ops_start_mo,
base_cost_kWh*POWER(1+inflation_electricity,QUOTIENT(_xlfn.SINGLE(Month)-ops_start_mo, 12)))</f>
        <v>0.17910784447934999</v>
      </c>
      <c r="CO29" s="50" cm="1">
        <f t="array" ref="CO29">_xlfn.IFS(_xlfn.SINGLE(Month)&lt;ops_start_mo,0,
_xlfn.SINGLE(Month)&gt;=ops_start_mo,
base_cost_kWh*POWER(1+inflation_electricity,QUOTIENT(_xlfn.SINGLE(Month)-ops_start_mo, 12)))</f>
        <v>0.17910784447934999</v>
      </c>
      <c r="CP29" s="50" cm="1">
        <f t="array" ref="CP29">_xlfn.IFS(_xlfn.SINGLE(Month)&lt;ops_start_mo,0,
_xlfn.SINGLE(Month)&gt;=ops_start_mo,
base_cost_kWh*POWER(1+inflation_electricity,QUOTIENT(_xlfn.SINGLE(Month)-ops_start_mo, 12)))</f>
        <v>0.17910784447934999</v>
      </c>
      <c r="CQ29" s="50" cm="1">
        <f t="array" ref="CQ29">_xlfn.IFS(_xlfn.SINGLE(Month)&lt;ops_start_mo,0,
_xlfn.SINGLE(Month)&gt;=ops_start_mo,
base_cost_kWh*POWER(1+inflation_electricity,QUOTIENT(_xlfn.SINGLE(Month)-ops_start_mo, 12)))</f>
        <v>0.17910784447934999</v>
      </c>
      <c r="CR29" s="50" cm="1">
        <f t="array" ref="CR29">_xlfn.IFS(_xlfn.SINGLE(Month)&lt;ops_start_mo,0,
_xlfn.SINGLE(Month)&gt;=ops_start_mo,
base_cost_kWh*POWER(1+inflation_electricity,QUOTIENT(_xlfn.SINGLE(Month)-ops_start_mo, 12)))</f>
        <v>0.17910784447934999</v>
      </c>
      <c r="CS29" s="50" cm="1">
        <f t="array" ref="CS29">_xlfn.IFS(_xlfn.SINGLE(Month)&lt;ops_start_mo,0,
_xlfn.SINGLE(Month)&gt;=ops_start_mo,
base_cost_kWh*POWER(1+inflation_electricity,QUOTIENT(_xlfn.SINGLE(Month)-ops_start_mo, 12)))</f>
        <v>0.17910784447934999</v>
      </c>
      <c r="CT29" s="50" cm="1">
        <f t="array" ref="CT29">_xlfn.IFS(_xlfn.SINGLE(Month)&lt;ops_start_mo,0,
_xlfn.SINGLE(Month)&gt;=ops_start_mo,
base_cost_kWh*POWER(1+inflation_electricity,QUOTIENT(_xlfn.SINGLE(Month)-ops_start_mo, 12)))</f>
        <v>0.17910784447934999</v>
      </c>
      <c r="CU29" s="50" cm="1">
        <f t="array" ref="CU29">_xlfn.IFS(_xlfn.SINGLE(Month)&lt;ops_start_mo,0,
_xlfn.SINGLE(Month)&gt;=ops_start_mo,
base_cost_kWh*POWER(1+inflation_electricity,QUOTIENT(_xlfn.SINGLE(Month)-ops_start_mo, 12)))</f>
        <v>0.17910784447934999</v>
      </c>
      <c r="CV29" s="50" cm="1">
        <f t="array" ref="CV29">_xlfn.IFS(_xlfn.SINGLE(Month)&lt;ops_start_mo,0,
_xlfn.SINGLE(Month)&gt;=ops_start_mo,
base_cost_kWh*POWER(1+inflation_electricity,QUOTIENT(_xlfn.SINGLE(Month)-ops_start_mo, 12)))</f>
        <v>0.18448107981373049</v>
      </c>
      <c r="CW29" s="50" cm="1">
        <f t="array" ref="CW29">_xlfn.IFS(_xlfn.SINGLE(Month)&lt;ops_start_mo,0,
_xlfn.SINGLE(Month)&gt;=ops_start_mo,
base_cost_kWh*POWER(1+inflation_electricity,QUOTIENT(_xlfn.SINGLE(Month)-ops_start_mo, 12)))</f>
        <v>0.18448107981373049</v>
      </c>
      <c r="CX29" s="50" cm="1">
        <f t="array" ref="CX29">_xlfn.IFS(_xlfn.SINGLE(Month)&lt;ops_start_mo,0,
_xlfn.SINGLE(Month)&gt;=ops_start_mo,
base_cost_kWh*POWER(1+inflation_electricity,QUOTIENT(_xlfn.SINGLE(Month)-ops_start_mo, 12)))</f>
        <v>0.18448107981373049</v>
      </c>
      <c r="CY29" s="50" cm="1">
        <f t="array" ref="CY29">_xlfn.IFS(_xlfn.SINGLE(Month)&lt;ops_start_mo,0,
_xlfn.SINGLE(Month)&gt;=ops_start_mo,
base_cost_kWh*POWER(1+inflation_electricity,QUOTIENT(_xlfn.SINGLE(Month)-ops_start_mo, 12)))</f>
        <v>0.18448107981373049</v>
      </c>
      <c r="CZ29" s="50" cm="1">
        <f t="array" ref="CZ29">_xlfn.IFS(_xlfn.SINGLE(Month)&lt;ops_start_mo,0,
_xlfn.SINGLE(Month)&gt;=ops_start_mo,
base_cost_kWh*POWER(1+inflation_electricity,QUOTIENT(_xlfn.SINGLE(Month)-ops_start_mo, 12)))</f>
        <v>0.18448107981373049</v>
      </c>
      <c r="DA29" s="50" cm="1">
        <f t="array" ref="DA29">_xlfn.IFS(_xlfn.SINGLE(Month)&lt;ops_start_mo,0,
_xlfn.SINGLE(Month)&gt;=ops_start_mo,
base_cost_kWh*POWER(1+inflation_electricity,QUOTIENT(_xlfn.SINGLE(Month)-ops_start_mo, 12)))</f>
        <v>0.18448107981373049</v>
      </c>
      <c r="DB29" s="50" cm="1">
        <f t="array" ref="DB29">_xlfn.IFS(_xlfn.SINGLE(Month)&lt;ops_start_mo,0,
_xlfn.SINGLE(Month)&gt;=ops_start_mo,
base_cost_kWh*POWER(1+inflation_electricity,QUOTIENT(_xlfn.SINGLE(Month)-ops_start_mo, 12)))</f>
        <v>0.18448107981373049</v>
      </c>
      <c r="DC29" s="50" cm="1">
        <f t="array" ref="DC29">_xlfn.IFS(_xlfn.SINGLE(Month)&lt;ops_start_mo,0,
_xlfn.SINGLE(Month)&gt;=ops_start_mo,
base_cost_kWh*POWER(1+inflation_electricity,QUOTIENT(_xlfn.SINGLE(Month)-ops_start_mo, 12)))</f>
        <v>0.18448107981373049</v>
      </c>
      <c r="DD29" s="50" cm="1">
        <f t="array" ref="DD29">_xlfn.IFS(_xlfn.SINGLE(Month)&lt;ops_start_mo,0,
_xlfn.SINGLE(Month)&gt;=ops_start_mo,
base_cost_kWh*POWER(1+inflation_electricity,QUOTIENT(_xlfn.SINGLE(Month)-ops_start_mo, 12)))</f>
        <v>0.18448107981373049</v>
      </c>
      <c r="DE29" s="50" cm="1">
        <f t="array" ref="DE29">_xlfn.IFS(_xlfn.SINGLE(Month)&lt;ops_start_mo,0,
_xlfn.SINGLE(Month)&gt;=ops_start_mo,
base_cost_kWh*POWER(1+inflation_electricity,QUOTIENT(_xlfn.SINGLE(Month)-ops_start_mo, 12)))</f>
        <v>0.18448107981373049</v>
      </c>
      <c r="DF29" s="50" cm="1">
        <f t="array" ref="DF29">_xlfn.IFS(_xlfn.SINGLE(Month)&lt;ops_start_mo,0,
_xlfn.SINGLE(Month)&gt;=ops_start_mo,
base_cost_kWh*POWER(1+inflation_electricity,QUOTIENT(_xlfn.SINGLE(Month)-ops_start_mo, 12)))</f>
        <v>0.18448107981373049</v>
      </c>
      <c r="DG29" s="50" cm="1">
        <f t="array" ref="DG29">_xlfn.IFS(_xlfn.SINGLE(Month)&lt;ops_start_mo,0,
_xlfn.SINGLE(Month)&gt;=ops_start_mo,
base_cost_kWh*POWER(1+inflation_electricity,QUOTIENT(_xlfn.SINGLE(Month)-ops_start_mo, 12)))</f>
        <v>0.18448107981373049</v>
      </c>
      <c r="DH29" s="50" cm="1">
        <f t="array" ref="DH29">_xlfn.IFS(_xlfn.SINGLE(Month)&lt;ops_start_mo,0,
_xlfn.SINGLE(Month)&gt;=ops_start_mo,
base_cost_kWh*POWER(1+inflation_electricity,QUOTIENT(_xlfn.SINGLE(Month)-ops_start_mo, 12)))</f>
        <v>0.19001551220814239</v>
      </c>
      <c r="DI29" s="50" cm="1">
        <f t="array" ref="DI29">_xlfn.IFS(_xlfn.SINGLE(Month)&lt;ops_start_mo,0,
_xlfn.SINGLE(Month)&gt;=ops_start_mo,
base_cost_kWh*POWER(1+inflation_electricity,QUOTIENT(_xlfn.SINGLE(Month)-ops_start_mo, 12)))</f>
        <v>0.19001551220814239</v>
      </c>
      <c r="DJ29" s="50" cm="1">
        <f t="array" ref="DJ29">_xlfn.IFS(_xlfn.SINGLE(Month)&lt;ops_start_mo,0,
_xlfn.SINGLE(Month)&gt;=ops_start_mo,
base_cost_kWh*POWER(1+inflation_electricity,QUOTIENT(_xlfn.SINGLE(Month)-ops_start_mo, 12)))</f>
        <v>0.19001551220814239</v>
      </c>
      <c r="DK29" s="50" cm="1">
        <f t="array" ref="DK29">_xlfn.IFS(_xlfn.SINGLE(Month)&lt;ops_start_mo,0,
_xlfn.SINGLE(Month)&gt;=ops_start_mo,
base_cost_kWh*POWER(1+inflation_electricity,QUOTIENT(_xlfn.SINGLE(Month)-ops_start_mo, 12)))</f>
        <v>0.19001551220814239</v>
      </c>
      <c r="DL29" s="50" cm="1">
        <f t="array" ref="DL29">_xlfn.IFS(_xlfn.SINGLE(Month)&lt;ops_start_mo,0,
_xlfn.SINGLE(Month)&gt;=ops_start_mo,
base_cost_kWh*POWER(1+inflation_electricity,QUOTIENT(_xlfn.SINGLE(Month)-ops_start_mo, 12)))</f>
        <v>0.19001551220814239</v>
      </c>
      <c r="DM29" s="50" cm="1">
        <f t="array" ref="DM29">_xlfn.IFS(_xlfn.SINGLE(Month)&lt;ops_start_mo,0,
_xlfn.SINGLE(Month)&gt;=ops_start_mo,
base_cost_kWh*POWER(1+inflation_electricity,QUOTIENT(_xlfn.SINGLE(Month)-ops_start_mo, 12)))</f>
        <v>0.19001551220814239</v>
      </c>
      <c r="DN29" s="50" cm="1">
        <f t="array" ref="DN29">_xlfn.IFS(_xlfn.SINGLE(Month)&lt;ops_start_mo,0,
_xlfn.SINGLE(Month)&gt;=ops_start_mo,
base_cost_kWh*POWER(1+inflation_electricity,QUOTIENT(_xlfn.SINGLE(Month)-ops_start_mo, 12)))</f>
        <v>0.19001551220814239</v>
      </c>
      <c r="DO29" s="50" cm="1">
        <f t="array" ref="DO29">_xlfn.IFS(_xlfn.SINGLE(Month)&lt;ops_start_mo,0,
_xlfn.SINGLE(Month)&gt;=ops_start_mo,
base_cost_kWh*POWER(1+inflation_electricity,QUOTIENT(_xlfn.SINGLE(Month)-ops_start_mo, 12)))</f>
        <v>0.19001551220814239</v>
      </c>
      <c r="DP29" s="50" cm="1">
        <f t="array" ref="DP29">_xlfn.IFS(_xlfn.SINGLE(Month)&lt;ops_start_mo,0,
_xlfn.SINGLE(Month)&gt;=ops_start_mo,
base_cost_kWh*POWER(1+inflation_electricity,QUOTIENT(_xlfn.SINGLE(Month)-ops_start_mo, 12)))</f>
        <v>0.19001551220814239</v>
      </c>
      <c r="DQ29" s="50" cm="1">
        <f t="array" ref="DQ29">_xlfn.IFS(_xlfn.SINGLE(Month)&lt;ops_start_mo,0,
_xlfn.SINGLE(Month)&gt;=ops_start_mo,
base_cost_kWh*POWER(1+inflation_electricity,QUOTIENT(_xlfn.SINGLE(Month)-ops_start_mo, 12)))</f>
        <v>0.19001551220814239</v>
      </c>
      <c r="DR29" s="50" cm="1">
        <f t="array" ref="DR29">_xlfn.IFS(_xlfn.SINGLE(Month)&lt;ops_start_mo,0,
_xlfn.SINGLE(Month)&gt;=ops_start_mo,
base_cost_kWh*POWER(1+inflation_electricity,QUOTIENT(_xlfn.SINGLE(Month)-ops_start_mo, 12)))</f>
        <v>0.19001551220814239</v>
      </c>
      <c r="DS29" s="50" cm="1">
        <f t="array" ref="DS29">_xlfn.IFS(_xlfn.SINGLE(Month)&lt;ops_start_mo,0,
_xlfn.SINGLE(Month)&gt;=ops_start_mo,
base_cost_kWh*POWER(1+inflation_electricity,QUOTIENT(_xlfn.SINGLE(Month)-ops_start_mo, 12)))</f>
        <v>0.19001551220814239</v>
      </c>
    </row>
    <row r="30" spans="1:123" x14ac:dyDescent="0.35">
      <c r="A30" s="49"/>
      <c r="B30" s="49" t="s">
        <v>119</v>
      </c>
      <c r="C30" s="50" cm="1">
        <f t="array" ref="C30">_xlfn.IFS(_xlfn.SINGLE(Month)&lt;ops_start_mo,0,
_xlfn.SINGLE(Month)&gt;=ops_start_mo,base_price_kWh*POWER(1+inflation_electricity,QUOTIENT(_xlfn.SINGLE(Month)-ops_start_mo, 12)))</f>
        <v>0</v>
      </c>
      <c r="D30" s="50" cm="1">
        <f t="array" ref="D30">_xlfn.IFS(_xlfn.SINGLE(Month)&lt;ops_start_mo,0,
_xlfn.SINGLE(Month)&gt;=ops_start_mo,
base_price_kWh*POWER(1+inflation_electricity,QUOTIENT(_xlfn.SINGLE(Month)-ops_start_mo, 12)))</f>
        <v>0</v>
      </c>
      <c r="E30" s="50" cm="1">
        <f t="array" ref="E30">_xlfn.IFS(_xlfn.SINGLE(Month)&lt;ops_start_mo,0,
_xlfn.SINGLE(Month)&gt;=ops_start_mo,
base_price_kWh*POWER(1+inflation_electricity,QUOTIENT(_xlfn.SINGLE(Month)-ops_start_mo, 12)))</f>
        <v>0</v>
      </c>
      <c r="F30" s="50" cm="1">
        <f t="array" ref="F30">_xlfn.IFS(_xlfn.SINGLE(Month)&lt;ops_start_mo,0,
_xlfn.SINGLE(Month)&gt;=ops_start_mo,
base_price_kWh*POWER(1+inflation_electricity,QUOTIENT(_xlfn.SINGLE(Month)-ops_start_mo, 12)))</f>
        <v>0</v>
      </c>
      <c r="G30" s="50" cm="1">
        <f t="array" ref="G30">_xlfn.IFS(_xlfn.SINGLE(Month)&lt;ops_start_mo,0,
_xlfn.SINGLE(Month)&gt;=ops_start_mo,
base_price_kWh*POWER(1+inflation_electricity,QUOTIENT(_xlfn.SINGLE(Month)-ops_start_mo, 12)))</f>
        <v>0</v>
      </c>
      <c r="H30" s="50" cm="1">
        <f t="array" ref="H30">_xlfn.IFS(_xlfn.SINGLE(Month)&lt;ops_start_mo,0,
_xlfn.SINGLE(Month)&gt;=ops_start_mo,
base_price_kWh*POWER(1+inflation_electricity,QUOTIENT(_xlfn.SINGLE(Month)-ops_start_mo, 12)))</f>
        <v>0</v>
      </c>
      <c r="I30" s="50" cm="1">
        <f t="array" ref="I30">_xlfn.IFS(_xlfn.SINGLE(Month)&lt;ops_start_mo,0,
_xlfn.SINGLE(Month)&gt;=ops_start_mo,
base_price_kWh*POWER(1+inflation_electricity,QUOTIENT(_xlfn.SINGLE(Month)-ops_start_mo, 12)))</f>
        <v>0</v>
      </c>
      <c r="J30" s="50" cm="1">
        <f t="array" ref="J30">_xlfn.IFS(_xlfn.SINGLE(Month)&lt;ops_start_mo,0,
_xlfn.SINGLE(Month)&gt;=ops_start_mo,
base_price_kWh*POWER(1+inflation_electricity,QUOTIENT(_xlfn.SINGLE(Month)-ops_start_mo, 12)))</f>
        <v>0</v>
      </c>
      <c r="K30" s="50" cm="1">
        <f t="array" ref="K30">_xlfn.IFS(_xlfn.SINGLE(Month)&lt;ops_start_mo,0,
_xlfn.SINGLE(Month)&gt;=ops_start_mo,
base_price_kWh*POWER(1+inflation_electricity,QUOTIENT(_xlfn.SINGLE(Month)-ops_start_mo, 12)))</f>
        <v>0</v>
      </c>
      <c r="L30" s="50" cm="1">
        <f t="array" ref="L30">_xlfn.IFS(_xlfn.SINGLE(Month)&lt;ops_start_mo,0,
_xlfn.SINGLE(Month)&gt;=ops_start_mo,
base_price_kWh*POWER(1+inflation_electricity,QUOTIENT(_xlfn.SINGLE(Month)-ops_start_mo, 12)))</f>
        <v>0</v>
      </c>
      <c r="M30" s="50" cm="1">
        <f t="array" ref="M30">_xlfn.IFS(_xlfn.SINGLE(Month)&lt;ops_start_mo,0,
_xlfn.SINGLE(Month)&gt;=ops_start_mo,
base_price_kWh*POWER(1+inflation_electricity,QUOTIENT(_xlfn.SINGLE(Month)-ops_start_mo, 12)))</f>
        <v>0</v>
      </c>
      <c r="N30" s="50" cm="1">
        <f t="array" ref="N30">_xlfn.IFS(_xlfn.SINGLE(Month)&lt;ops_start_mo,0,
_xlfn.SINGLE(Month)&gt;=ops_start_mo,
base_price_kWh*POWER(1+inflation_electricity,QUOTIENT(_xlfn.SINGLE(Month)-ops_start_mo, 12)))</f>
        <v>0</v>
      </c>
      <c r="O30" s="50" cm="1">
        <f t="array" ref="O30">_xlfn.IFS(_xlfn.SINGLE(Month)&lt;ops_start_mo,0,
_xlfn.SINGLE(Month)&gt;=ops_start_mo,
base_price_kWh*POWER(1+inflation_electricity,QUOTIENT(_xlfn.SINGLE(Month)-ops_start_mo, 12)))</f>
        <v>0</v>
      </c>
      <c r="P30" s="50" cm="1">
        <f t="array" ref="P30">_xlfn.IFS(_xlfn.SINGLE(Month)&lt;ops_start_mo,0,
_xlfn.SINGLE(Month)&gt;=ops_start_mo,
base_price_kWh*POWER(1+inflation_electricity,QUOTIENT(_xlfn.SINGLE(Month)-ops_start_mo, 12)))</f>
        <v>0.35</v>
      </c>
      <c r="Q30" s="50" cm="1">
        <f t="array" ref="Q30">_xlfn.IFS(_xlfn.SINGLE(Month)&lt;ops_start_mo,0,
_xlfn.SINGLE(Month)&gt;=ops_start_mo,
base_price_kWh*POWER(1+inflation_electricity,QUOTIENT(_xlfn.SINGLE(Month)-ops_start_mo, 12)))</f>
        <v>0.35</v>
      </c>
      <c r="R30" s="50" cm="1">
        <f t="array" ref="R30">_xlfn.IFS(_xlfn.SINGLE(Month)&lt;ops_start_mo,0,
_xlfn.SINGLE(Month)&gt;=ops_start_mo,
base_price_kWh*POWER(1+inflation_electricity,QUOTIENT(_xlfn.SINGLE(Month)-ops_start_mo, 12)))</f>
        <v>0.35</v>
      </c>
      <c r="S30" s="50" cm="1">
        <f t="array" ref="S30">_xlfn.IFS(_xlfn.SINGLE(Month)&lt;ops_start_mo,0,
_xlfn.SINGLE(Month)&gt;=ops_start_mo,
base_price_kWh*POWER(1+inflation_electricity,QUOTIENT(_xlfn.SINGLE(Month)-ops_start_mo, 12)))</f>
        <v>0.35</v>
      </c>
      <c r="T30" s="50" cm="1">
        <f t="array" ref="T30">_xlfn.IFS(_xlfn.SINGLE(Month)&lt;ops_start_mo,0,
_xlfn.SINGLE(Month)&gt;=ops_start_mo,
base_price_kWh*POWER(1+inflation_electricity,QUOTIENT(_xlfn.SINGLE(Month)-ops_start_mo, 12)))</f>
        <v>0.35</v>
      </c>
      <c r="U30" s="50" cm="1">
        <f t="array" ref="U30">_xlfn.IFS(_xlfn.SINGLE(Month)&lt;ops_start_mo,0,
_xlfn.SINGLE(Month)&gt;=ops_start_mo,
base_price_kWh*POWER(1+inflation_electricity,QUOTIENT(_xlfn.SINGLE(Month)-ops_start_mo, 12)))</f>
        <v>0.35</v>
      </c>
      <c r="V30" s="50" cm="1">
        <f t="array" ref="V30">_xlfn.IFS(_xlfn.SINGLE(Month)&lt;ops_start_mo,0,
_xlfn.SINGLE(Month)&gt;=ops_start_mo,
base_price_kWh*POWER(1+inflation_electricity,QUOTIENT(_xlfn.SINGLE(Month)-ops_start_mo, 12)))</f>
        <v>0.35</v>
      </c>
      <c r="W30" s="50" cm="1">
        <f t="array" ref="W30">_xlfn.IFS(_xlfn.SINGLE(Month)&lt;ops_start_mo,0,
_xlfn.SINGLE(Month)&gt;=ops_start_mo,
base_price_kWh*POWER(1+inflation_electricity,QUOTIENT(_xlfn.SINGLE(Month)-ops_start_mo, 12)))</f>
        <v>0.35</v>
      </c>
      <c r="X30" s="50" cm="1">
        <f t="array" ref="X30">_xlfn.IFS(_xlfn.SINGLE(Month)&lt;ops_start_mo,0,
_xlfn.SINGLE(Month)&gt;=ops_start_mo,
base_price_kWh*POWER(1+inflation_electricity,QUOTIENT(_xlfn.SINGLE(Month)-ops_start_mo, 12)))</f>
        <v>0.35</v>
      </c>
      <c r="Y30" s="50" cm="1">
        <f t="array" ref="Y30">_xlfn.IFS(_xlfn.SINGLE(Month)&lt;ops_start_mo,0,
_xlfn.SINGLE(Month)&gt;=ops_start_mo,
base_price_kWh*POWER(1+inflation_electricity,QUOTIENT(_xlfn.SINGLE(Month)-ops_start_mo, 12)))</f>
        <v>0.35</v>
      </c>
      <c r="Z30" s="50" cm="1">
        <f t="array" ref="Z30">_xlfn.IFS(_xlfn.SINGLE(Month)&lt;ops_start_mo,0,
_xlfn.SINGLE(Month)&gt;=ops_start_mo,
base_price_kWh*POWER(1+inflation_electricity,QUOTIENT(_xlfn.SINGLE(Month)-ops_start_mo, 12)))</f>
        <v>0.35</v>
      </c>
      <c r="AA30" s="50" cm="1">
        <f t="array" ref="AA30">_xlfn.IFS(_xlfn.SINGLE(Month)&lt;ops_start_mo,0,
_xlfn.SINGLE(Month)&gt;=ops_start_mo,
base_price_kWh*POWER(1+inflation_electricity,QUOTIENT(_xlfn.SINGLE(Month)-ops_start_mo, 12)))</f>
        <v>0.35</v>
      </c>
      <c r="AB30" s="50" cm="1">
        <f t="array" ref="AB30">_xlfn.IFS(_xlfn.SINGLE(Month)&lt;ops_start_mo,0,
_xlfn.SINGLE(Month)&gt;=ops_start_mo,
base_price_kWh*POWER(1+inflation_electricity,QUOTIENT(_xlfn.SINGLE(Month)-ops_start_mo, 12)))</f>
        <v>0.36049999999999999</v>
      </c>
      <c r="AC30" s="50" cm="1">
        <f t="array" ref="AC30">_xlfn.IFS(_xlfn.SINGLE(Month)&lt;ops_start_mo,0,
_xlfn.SINGLE(Month)&gt;=ops_start_mo,
base_price_kWh*POWER(1+inflation_electricity,QUOTIENT(_xlfn.SINGLE(Month)-ops_start_mo, 12)))</f>
        <v>0.36049999999999999</v>
      </c>
      <c r="AD30" s="50" cm="1">
        <f t="array" ref="AD30">_xlfn.IFS(_xlfn.SINGLE(Month)&lt;ops_start_mo,0,
_xlfn.SINGLE(Month)&gt;=ops_start_mo,
base_price_kWh*POWER(1+inflation_electricity,QUOTIENT(_xlfn.SINGLE(Month)-ops_start_mo, 12)))</f>
        <v>0.36049999999999999</v>
      </c>
      <c r="AE30" s="50" cm="1">
        <f t="array" ref="AE30">_xlfn.IFS(_xlfn.SINGLE(Month)&lt;ops_start_mo,0,
_xlfn.SINGLE(Month)&gt;=ops_start_mo,
base_price_kWh*POWER(1+inflation_electricity,QUOTIENT(_xlfn.SINGLE(Month)-ops_start_mo, 12)))</f>
        <v>0.36049999999999999</v>
      </c>
      <c r="AF30" s="50" cm="1">
        <f t="array" ref="AF30">_xlfn.IFS(_xlfn.SINGLE(Month)&lt;ops_start_mo,0,
_xlfn.SINGLE(Month)&gt;=ops_start_mo,
base_price_kWh*POWER(1+inflation_electricity,QUOTIENT(_xlfn.SINGLE(Month)-ops_start_mo, 12)))</f>
        <v>0.36049999999999999</v>
      </c>
      <c r="AG30" s="50" cm="1">
        <f t="array" ref="AG30">_xlfn.IFS(_xlfn.SINGLE(Month)&lt;ops_start_mo,0,
_xlfn.SINGLE(Month)&gt;=ops_start_mo,
base_price_kWh*POWER(1+inflation_electricity,QUOTIENT(_xlfn.SINGLE(Month)-ops_start_mo, 12)))</f>
        <v>0.36049999999999999</v>
      </c>
      <c r="AH30" s="50" cm="1">
        <f t="array" ref="AH30">_xlfn.IFS(_xlfn.SINGLE(Month)&lt;ops_start_mo,0,
_xlfn.SINGLE(Month)&gt;=ops_start_mo,
base_price_kWh*POWER(1+inflation_electricity,QUOTIENT(_xlfn.SINGLE(Month)-ops_start_mo, 12)))</f>
        <v>0.36049999999999999</v>
      </c>
      <c r="AI30" s="50" cm="1">
        <f t="array" ref="AI30">_xlfn.IFS(_xlfn.SINGLE(Month)&lt;ops_start_mo,0,
_xlfn.SINGLE(Month)&gt;=ops_start_mo,
base_price_kWh*POWER(1+inflation_electricity,QUOTIENT(_xlfn.SINGLE(Month)-ops_start_mo, 12)))</f>
        <v>0.36049999999999999</v>
      </c>
      <c r="AJ30" s="50" cm="1">
        <f t="array" ref="AJ30">_xlfn.IFS(_xlfn.SINGLE(Month)&lt;ops_start_mo,0,
_xlfn.SINGLE(Month)&gt;=ops_start_mo,
base_price_kWh*POWER(1+inflation_electricity,QUOTIENT(_xlfn.SINGLE(Month)-ops_start_mo, 12)))</f>
        <v>0.36049999999999999</v>
      </c>
      <c r="AK30" s="50" cm="1">
        <f t="array" ref="AK30">_xlfn.IFS(_xlfn.SINGLE(Month)&lt;ops_start_mo,0,
_xlfn.SINGLE(Month)&gt;=ops_start_mo,
base_price_kWh*POWER(1+inflation_electricity,QUOTIENT(_xlfn.SINGLE(Month)-ops_start_mo, 12)))</f>
        <v>0.36049999999999999</v>
      </c>
      <c r="AL30" s="50" cm="1">
        <f t="array" ref="AL30">_xlfn.IFS(_xlfn.SINGLE(Month)&lt;ops_start_mo,0,
_xlfn.SINGLE(Month)&gt;=ops_start_mo,
base_price_kWh*POWER(1+inflation_electricity,QUOTIENT(_xlfn.SINGLE(Month)-ops_start_mo, 12)))</f>
        <v>0.36049999999999999</v>
      </c>
      <c r="AM30" s="50" cm="1">
        <f t="array" ref="AM30">_xlfn.IFS(_xlfn.SINGLE(Month)&lt;ops_start_mo,0,
_xlfn.SINGLE(Month)&gt;=ops_start_mo,
base_price_kWh*POWER(1+inflation_electricity,QUOTIENT(_xlfn.SINGLE(Month)-ops_start_mo, 12)))</f>
        <v>0.36049999999999999</v>
      </c>
      <c r="AN30" s="50" cm="1">
        <f t="array" ref="AN30">_xlfn.IFS(_xlfn.SINGLE(Month)&lt;ops_start_mo,0,
_xlfn.SINGLE(Month)&gt;=ops_start_mo,
base_price_kWh*POWER(1+inflation_electricity,QUOTIENT(_xlfn.SINGLE(Month)-ops_start_mo, 12)))</f>
        <v>0.37131499999999995</v>
      </c>
      <c r="AO30" s="50" cm="1">
        <f t="array" ref="AO30">_xlfn.IFS(_xlfn.SINGLE(Month)&lt;ops_start_mo,0,
_xlfn.SINGLE(Month)&gt;=ops_start_mo,
base_price_kWh*POWER(1+inflation_electricity,QUOTIENT(_xlfn.SINGLE(Month)-ops_start_mo, 12)))</f>
        <v>0.37131499999999995</v>
      </c>
      <c r="AP30" s="50" cm="1">
        <f t="array" ref="AP30">_xlfn.IFS(_xlfn.SINGLE(Month)&lt;ops_start_mo,0,
_xlfn.SINGLE(Month)&gt;=ops_start_mo,
base_price_kWh*POWER(1+inflation_electricity,QUOTIENT(_xlfn.SINGLE(Month)-ops_start_mo, 12)))</f>
        <v>0.37131499999999995</v>
      </c>
      <c r="AQ30" s="50" cm="1">
        <f t="array" ref="AQ30">_xlfn.IFS(_xlfn.SINGLE(Month)&lt;ops_start_mo,0,
_xlfn.SINGLE(Month)&gt;=ops_start_mo,
base_price_kWh*POWER(1+inflation_electricity,QUOTIENT(_xlfn.SINGLE(Month)-ops_start_mo, 12)))</f>
        <v>0.37131499999999995</v>
      </c>
      <c r="AR30" s="50" cm="1">
        <f t="array" ref="AR30">_xlfn.IFS(_xlfn.SINGLE(Month)&lt;ops_start_mo,0,
_xlfn.SINGLE(Month)&gt;=ops_start_mo,
base_price_kWh*POWER(1+inflation_electricity,QUOTIENT(_xlfn.SINGLE(Month)-ops_start_mo, 12)))</f>
        <v>0.37131499999999995</v>
      </c>
      <c r="AS30" s="50" cm="1">
        <f t="array" ref="AS30">_xlfn.IFS(_xlfn.SINGLE(Month)&lt;ops_start_mo,0,
_xlfn.SINGLE(Month)&gt;=ops_start_mo,
base_price_kWh*POWER(1+inflation_electricity,QUOTIENT(_xlfn.SINGLE(Month)-ops_start_mo, 12)))</f>
        <v>0.37131499999999995</v>
      </c>
      <c r="AT30" s="50" cm="1">
        <f t="array" ref="AT30">_xlfn.IFS(_xlfn.SINGLE(Month)&lt;ops_start_mo,0,
_xlfn.SINGLE(Month)&gt;=ops_start_mo,
base_price_kWh*POWER(1+inflation_electricity,QUOTIENT(_xlfn.SINGLE(Month)-ops_start_mo, 12)))</f>
        <v>0.37131499999999995</v>
      </c>
      <c r="AU30" s="50" cm="1">
        <f t="array" ref="AU30">_xlfn.IFS(_xlfn.SINGLE(Month)&lt;ops_start_mo,0,
_xlfn.SINGLE(Month)&gt;=ops_start_mo,
base_price_kWh*POWER(1+inflation_electricity,QUOTIENT(_xlfn.SINGLE(Month)-ops_start_mo, 12)))</f>
        <v>0.37131499999999995</v>
      </c>
      <c r="AV30" s="50" cm="1">
        <f t="array" ref="AV30">_xlfn.IFS(_xlfn.SINGLE(Month)&lt;ops_start_mo,0,
_xlfn.SINGLE(Month)&gt;=ops_start_mo,
base_price_kWh*POWER(1+inflation_electricity,QUOTIENT(_xlfn.SINGLE(Month)-ops_start_mo, 12)))</f>
        <v>0.37131499999999995</v>
      </c>
      <c r="AW30" s="50" cm="1">
        <f t="array" ref="AW30">_xlfn.IFS(_xlfn.SINGLE(Month)&lt;ops_start_mo,0,
_xlfn.SINGLE(Month)&gt;=ops_start_mo,
base_price_kWh*POWER(1+inflation_electricity,QUOTIENT(_xlfn.SINGLE(Month)-ops_start_mo, 12)))</f>
        <v>0.37131499999999995</v>
      </c>
      <c r="AX30" s="50" cm="1">
        <f t="array" ref="AX30">_xlfn.IFS(_xlfn.SINGLE(Month)&lt;ops_start_mo,0,
_xlfn.SINGLE(Month)&gt;=ops_start_mo,
base_price_kWh*POWER(1+inflation_electricity,QUOTIENT(_xlfn.SINGLE(Month)-ops_start_mo, 12)))</f>
        <v>0.37131499999999995</v>
      </c>
      <c r="AY30" s="50" cm="1">
        <f t="array" ref="AY30">_xlfn.IFS(_xlfn.SINGLE(Month)&lt;ops_start_mo,0,
_xlfn.SINGLE(Month)&gt;=ops_start_mo,
base_price_kWh*POWER(1+inflation_electricity,QUOTIENT(_xlfn.SINGLE(Month)-ops_start_mo, 12)))</f>
        <v>0.37131499999999995</v>
      </c>
      <c r="AZ30" s="50" cm="1">
        <f t="array" ref="AZ30">_xlfn.IFS(_xlfn.SINGLE(Month)&lt;ops_start_mo,0,
_xlfn.SINGLE(Month)&gt;=ops_start_mo,
base_price_kWh*POWER(1+inflation_electricity,QUOTIENT(_xlfn.SINGLE(Month)-ops_start_mo, 12)))</f>
        <v>0.38245445</v>
      </c>
      <c r="BA30" s="50" cm="1">
        <f t="array" ref="BA30">_xlfn.IFS(_xlfn.SINGLE(Month)&lt;ops_start_mo,0,
_xlfn.SINGLE(Month)&gt;=ops_start_mo,
base_price_kWh*POWER(1+inflation_electricity,QUOTIENT(_xlfn.SINGLE(Month)-ops_start_mo, 12)))</f>
        <v>0.38245445</v>
      </c>
      <c r="BB30" s="50" cm="1">
        <f t="array" ref="BB30">_xlfn.IFS(_xlfn.SINGLE(Month)&lt;ops_start_mo,0,
_xlfn.SINGLE(Month)&gt;=ops_start_mo,
base_price_kWh*POWER(1+inflation_electricity,QUOTIENT(_xlfn.SINGLE(Month)-ops_start_mo, 12)))</f>
        <v>0.38245445</v>
      </c>
      <c r="BC30" s="50" cm="1">
        <f t="array" ref="BC30">_xlfn.IFS(_xlfn.SINGLE(Month)&lt;ops_start_mo,0,
_xlfn.SINGLE(Month)&gt;=ops_start_mo,
base_price_kWh*POWER(1+inflation_electricity,QUOTIENT(_xlfn.SINGLE(Month)-ops_start_mo, 12)))</f>
        <v>0.38245445</v>
      </c>
      <c r="BD30" s="50" cm="1">
        <f t="array" ref="BD30">_xlfn.IFS(_xlfn.SINGLE(Month)&lt;ops_start_mo,0,
_xlfn.SINGLE(Month)&gt;=ops_start_mo,
base_price_kWh*POWER(1+inflation_electricity,QUOTIENT(_xlfn.SINGLE(Month)-ops_start_mo, 12)))</f>
        <v>0.38245445</v>
      </c>
      <c r="BE30" s="50" cm="1">
        <f t="array" ref="BE30">_xlfn.IFS(_xlfn.SINGLE(Month)&lt;ops_start_mo,0,
_xlfn.SINGLE(Month)&gt;=ops_start_mo,
base_price_kWh*POWER(1+inflation_electricity,QUOTIENT(_xlfn.SINGLE(Month)-ops_start_mo, 12)))</f>
        <v>0.38245445</v>
      </c>
      <c r="BF30" s="50" cm="1">
        <f t="array" ref="BF30">_xlfn.IFS(_xlfn.SINGLE(Month)&lt;ops_start_mo,0,
_xlfn.SINGLE(Month)&gt;=ops_start_mo,
base_price_kWh*POWER(1+inflation_electricity,QUOTIENT(_xlfn.SINGLE(Month)-ops_start_mo, 12)))</f>
        <v>0.38245445</v>
      </c>
      <c r="BG30" s="50" cm="1">
        <f t="array" ref="BG30">_xlfn.IFS(_xlfn.SINGLE(Month)&lt;ops_start_mo,0,
_xlfn.SINGLE(Month)&gt;=ops_start_mo,
base_price_kWh*POWER(1+inflation_electricity,QUOTIENT(_xlfn.SINGLE(Month)-ops_start_mo, 12)))</f>
        <v>0.38245445</v>
      </c>
      <c r="BH30" s="50" cm="1">
        <f t="array" ref="BH30">_xlfn.IFS(_xlfn.SINGLE(Month)&lt;ops_start_mo,0,
_xlfn.SINGLE(Month)&gt;=ops_start_mo,
base_price_kWh*POWER(1+inflation_electricity,QUOTIENT(_xlfn.SINGLE(Month)-ops_start_mo, 12)))</f>
        <v>0.38245445</v>
      </c>
      <c r="BI30" s="50" cm="1">
        <f t="array" ref="BI30">_xlfn.IFS(_xlfn.SINGLE(Month)&lt;ops_start_mo,0,
_xlfn.SINGLE(Month)&gt;=ops_start_mo,
base_price_kWh*POWER(1+inflation_electricity,QUOTIENT(_xlfn.SINGLE(Month)-ops_start_mo, 12)))</f>
        <v>0.38245445</v>
      </c>
      <c r="BJ30" s="50" cm="1">
        <f t="array" ref="BJ30">_xlfn.IFS(_xlfn.SINGLE(Month)&lt;ops_start_mo,0,
_xlfn.SINGLE(Month)&gt;=ops_start_mo,
base_price_kWh*POWER(1+inflation_electricity,QUOTIENT(_xlfn.SINGLE(Month)-ops_start_mo, 12)))</f>
        <v>0.38245445</v>
      </c>
      <c r="BK30" s="50" cm="1">
        <f t="array" ref="BK30">_xlfn.IFS(_xlfn.SINGLE(Month)&lt;ops_start_mo,0,
_xlfn.SINGLE(Month)&gt;=ops_start_mo,
base_price_kWh*POWER(1+inflation_electricity,QUOTIENT(_xlfn.SINGLE(Month)-ops_start_mo, 12)))</f>
        <v>0.38245445</v>
      </c>
      <c r="BL30" s="50" cm="1">
        <f t="array" ref="BL30">_xlfn.IFS(_xlfn.SINGLE(Month)&lt;ops_start_mo,0,
_xlfn.SINGLE(Month)&gt;=ops_start_mo,
base_price_kWh*POWER(1+inflation_electricity,QUOTIENT(_xlfn.SINGLE(Month)-ops_start_mo, 12)))</f>
        <v>0.39392808349999997</v>
      </c>
      <c r="BM30" s="50" cm="1">
        <f t="array" ref="BM30">_xlfn.IFS(_xlfn.SINGLE(Month)&lt;ops_start_mo,0,
_xlfn.SINGLE(Month)&gt;=ops_start_mo,
base_price_kWh*POWER(1+inflation_electricity,QUOTIENT(_xlfn.SINGLE(Month)-ops_start_mo, 12)))</f>
        <v>0.39392808349999997</v>
      </c>
      <c r="BN30" s="50" cm="1">
        <f t="array" ref="BN30">_xlfn.IFS(_xlfn.SINGLE(Month)&lt;ops_start_mo,0,
_xlfn.SINGLE(Month)&gt;=ops_start_mo,
base_price_kWh*POWER(1+inflation_electricity,QUOTIENT(_xlfn.SINGLE(Month)-ops_start_mo, 12)))</f>
        <v>0.39392808349999997</v>
      </c>
      <c r="BO30" s="50" cm="1">
        <f t="array" ref="BO30">_xlfn.IFS(_xlfn.SINGLE(Month)&lt;ops_start_mo,0,
_xlfn.SINGLE(Month)&gt;=ops_start_mo,
base_price_kWh*POWER(1+inflation_electricity,QUOTIENT(_xlfn.SINGLE(Month)-ops_start_mo, 12)))</f>
        <v>0.39392808349999997</v>
      </c>
      <c r="BP30" s="50" cm="1">
        <f t="array" ref="BP30">_xlfn.IFS(_xlfn.SINGLE(Month)&lt;ops_start_mo,0,
_xlfn.SINGLE(Month)&gt;=ops_start_mo,
base_price_kWh*POWER(1+inflation_electricity,QUOTIENT(_xlfn.SINGLE(Month)-ops_start_mo, 12)))</f>
        <v>0.39392808349999997</v>
      </c>
      <c r="BQ30" s="50" cm="1">
        <f t="array" ref="BQ30">_xlfn.IFS(_xlfn.SINGLE(Month)&lt;ops_start_mo,0,
_xlfn.SINGLE(Month)&gt;=ops_start_mo,
base_price_kWh*POWER(1+inflation_electricity,QUOTIENT(_xlfn.SINGLE(Month)-ops_start_mo, 12)))</f>
        <v>0.39392808349999997</v>
      </c>
      <c r="BR30" s="50" cm="1">
        <f t="array" ref="BR30">_xlfn.IFS(_xlfn.SINGLE(Month)&lt;ops_start_mo,0,
_xlfn.SINGLE(Month)&gt;=ops_start_mo,
base_price_kWh*POWER(1+inflation_electricity,QUOTIENT(_xlfn.SINGLE(Month)-ops_start_mo, 12)))</f>
        <v>0.39392808349999997</v>
      </c>
      <c r="BS30" s="50" cm="1">
        <f t="array" ref="BS30">_xlfn.IFS(_xlfn.SINGLE(Month)&lt;ops_start_mo,0,
_xlfn.SINGLE(Month)&gt;=ops_start_mo,
base_price_kWh*POWER(1+inflation_electricity,QUOTIENT(_xlfn.SINGLE(Month)-ops_start_mo, 12)))</f>
        <v>0.39392808349999997</v>
      </c>
      <c r="BT30" s="50" cm="1">
        <f t="array" ref="BT30">_xlfn.IFS(_xlfn.SINGLE(Month)&lt;ops_start_mo,0,
_xlfn.SINGLE(Month)&gt;=ops_start_mo,
base_price_kWh*POWER(1+inflation_electricity,QUOTIENT(_xlfn.SINGLE(Month)-ops_start_mo, 12)))</f>
        <v>0.39392808349999997</v>
      </c>
      <c r="BU30" s="50" cm="1">
        <f t="array" ref="BU30">_xlfn.IFS(_xlfn.SINGLE(Month)&lt;ops_start_mo,0,
_xlfn.SINGLE(Month)&gt;=ops_start_mo,
base_price_kWh*POWER(1+inflation_electricity,QUOTIENT(_xlfn.SINGLE(Month)-ops_start_mo, 12)))</f>
        <v>0.39392808349999997</v>
      </c>
      <c r="BV30" s="50" cm="1">
        <f t="array" ref="BV30">_xlfn.IFS(_xlfn.SINGLE(Month)&lt;ops_start_mo,0,
_xlfn.SINGLE(Month)&gt;=ops_start_mo,
base_price_kWh*POWER(1+inflation_electricity,QUOTIENT(_xlfn.SINGLE(Month)-ops_start_mo, 12)))</f>
        <v>0.39392808349999997</v>
      </c>
      <c r="BW30" s="50" cm="1">
        <f t="array" ref="BW30">_xlfn.IFS(_xlfn.SINGLE(Month)&lt;ops_start_mo,0,
_xlfn.SINGLE(Month)&gt;=ops_start_mo,
base_price_kWh*POWER(1+inflation_electricity,QUOTIENT(_xlfn.SINGLE(Month)-ops_start_mo, 12)))</f>
        <v>0.39392808349999997</v>
      </c>
      <c r="BX30" s="50" cm="1">
        <f t="array" ref="BX30">_xlfn.IFS(_xlfn.SINGLE(Month)&lt;ops_start_mo,0,
_xlfn.SINGLE(Month)&gt;=ops_start_mo,
base_price_kWh*POWER(1+inflation_electricity,QUOTIENT(_xlfn.SINGLE(Month)-ops_start_mo, 12)))</f>
        <v>0.40574592600499992</v>
      </c>
      <c r="BY30" s="50" cm="1">
        <f t="array" ref="BY30">_xlfn.IFS(_xlfn.SINGLE(Month)&lt;ops_start_mo,0,
_xlfn.SINGLE(Month)&gt;=ops_start_mo,
base_price_kWh*POWER(1+inflation_electricity,QUOTIENT(_xlfn.SINGLE(Month)-ops_start_mo, 12)))</f>
        <v>0.40574592600499992</v>
      </c>
      <c r="BZ30" s="50" cm="1">
        <f t="array" ref="BZ30">_xlfn.IFS(_xlfn.SINGLE(Month)&lt;ops_start_mo,0,
_xlfn.SINGLE(Month)&gt;=ops_start_mo,
base_price_kWh*POWER(1+inflation_electricity,QUOTIENT(_xlfn.SINGLE(Month)-ops_start_mo, 12)))</f>
        <v>0.40574592600499992</v>
      </c>
      <c r="CA30" s="50" cm="1">
        <f t="array" ref="CA30">_xlfn.IFS(_xlfn.SINGLE(Month)&lt;ops_start_mo,0,
_xlfn.SINGLE(Month)&gt;=ops_start_mo,
base_price_kWh*POWER(1+inflation_electricity,QUOTIENT(_xlfn.SINGLE(Month)-ops_start_mo, 12)))</f>
        <v>0.40574592600499992</v>
      </c>
      <c r="CB30" s="50" cm="1">
        <f t="array" ref="CB30">_xlfn.IFS(_xlfn.SINGLE(Month)&lt;ops_start_mo,0,
_xlfn.SINGLE(Month)&gt;=ops_start_mo,
base_price_kWh*POWER(1+inflation_electricity,QUOTIENT(_xlfn.SINGLE(Month)-ops_start_mo, 12)))</f>
        <v>0.40574592600499992</v>
      </c>
      <c r="CC30" s="50" cm="1">
        <f t="array" ref="CC30">_xlfn.IFS(_xlfn.SINGLE(Month)&lt;ops_start_mo,0,
_xlfn.SINGLE(Month)&gt;=ops_start_mo,
base_price_kWh*POWER(1+inflation_electricity,QUOTIENT(_xlfn.SINGLE(Month)-ops_start_mo, 12)))</f>
        <v>0.40574592600499992</v>
      </c>
      <c r="CD30" s="50" cm="1">
        <f t="array" ref="CD30">_xlfn.IFS(_xlfn.SINGLE(Month)&lt;ops_start_mo,0,
_xlfn.SINGLE(Month)&gt;=ops_start_mo,
base_price_kWh*POWER(1+inflation_electricity,QUOTIENT(_xlfn.SINGLE(Month)-ops_start_mo, 12)))</f>
        <v>0.40574592600499992</v>
      </c>
      <c r="CE30" s="50" cm="1">
        <f t="array" ref="CE30">_xlfn.IFS(_xlfn.SINGLE(Month)&lt;ops_start_mo,0,
_xlfn.SINGLE(Month)&gt;=ops_start_mo,
base_price_kWh*POWER(1+inflation_electricity,QUOTIENT(_xlfn.SINGLE(Month)-ops_start_mo, 12)))</f>
        <v>0.40574592600499992</v>
      </c>
      <c r="CF30" s="50" cm="1">
        <f t="array" ref="CF30">_xlfn.IFS(_xlfn.SINGLE(Month)&lt;ops_start_mo,0,
_xlfn.SINGLE(Month)&gt;=ops_start_mo,
base_price_kWh*POWER(1+inflation_electricity,QUOTIENT(_xlfn.SINGLE(Month)-ops_start_mo, 12)))</f>
        <v>0.40574592600499992</v>
      </c>
      <c r="CG30" s="50" cm="1">
        <f t="array" ref="CG30">_xlfn.IFS(_xlfn.SINGLE(Month)&lt;ops_start_mo,0,
_xlfn.SINGLE(Month)&gt;=ops_start_mo,
base_price_kWh*POWER(1+inflation_electricity,QUOTIENT(_xlfn.SINGLE(Month)-ops_start_mo, 12)))</f>
        <v>0.40574592600499992</v>
      </c>
      <c r="CH30" s="50" cm="1">
        <f t="array" ref="CH30">_xlfn.IFS(_xlfn.SINGLE(Month)&lt;ops_start_mo,0,
_xlfn.SINGLE(Month)&gt;=ops_start_mo,
base_price_kWh*POWER(1+inflation_electricity,QUOTIENT(_xlfn.SINGLE(Month)-ops_start_mo, 12)))</f>
        <v>0.40574592600499992</v>
      </c>
      <c r="CI30" s="50" cm="1">
        <f t="array" ref="CI30">_xlfn.IFS(_xlfn.SINGLE(Month)&lt;ops_start_mo,0,
_xlfn.SINGLE(Month)&gt;=ops_start_mo,
base_price_kWh*POWER(1+inflation_electricity,QUOTIENT(_xlfn.SINGLE(Month)-ops_start_mo, 12)))</f>
        <v>0.40574592600499992</v>
      </c>
      <c r="CJ30" s="50" cm="1">
        <f t="array" ref="CJ30">_xlfn.IFS(_xlfn.SINGLE(Month)&lt;ops_start_mo,0,
_xlfn.SINGLE(Month)&gt;=ops_start_mo,
base_price_kWh*POWER(1+inflation_electricity,QUOTIENT(_xlfn.SINGLE(Month)-ops_start_mo, 12)))</f>
        <v>0.41791830378514994</v>
      </c>
      <c r="CK30" s="50" cm="1">
        <f t="array" ref="CK30">_xlfn.IFS(_xlfn.SINGLE(Month)&lt;ops_start_mo,0,
_xlfn.SINGLE(Month)&gt;=ops_start_mo,
base_price_kWh*POWER(1+inflation_electricity,QUOTIENT(_xlfn.SINGLE(Month)-ops_start_mo, 12)))</f>
        <v>0.41791830378514994</v>
      </c>
      <c r="CL30" s="50" cm="1">
        <f t="array" ref="CL30">_xlfn.IFS(_xlfn.SINGLE(Month)&lt;ops_start_mo,0,
_xlfn.SINGLE(Month)&gt;=ops_start_mo,
base_price_kWh*POWER(1+inflation_electricity,QUOTIENT(_xlfn.SINGLE(Month)-ops_start_mo, 12)))</f>
        <v>0.41791830378514994</v>
      </c>
      <c r="CM30" s="50" cm="1">
        <f t="array" ref="CM30">_xlfn.IFS(_xlfn.SINGLE(Month)&lt;ops_start_mo,0,
_xlfn.SINGLE(Month)&gt;=ops_start_mo,
base_price_kWh*POWER(1+inflation_electricity,QUOTIENT(_xlfn.SINGLE(Month)-ops_start_mo, 12)))</f>
        <v>0.41791830378514994</v>
      </c>
      <c r="CN30" s="50" cm="1">
        <f t="array" ref="CN30">_xlfn.IFS(_xlfn.SINGLE(Month)&lt;ops_start_mo,0,
_xlfn.SINGLE(Month)&gt;=ops_start_mo,
base_price_kWh*POWER(1+inflation_electricity,QUOTIENT(_xlfn.SINGLE(Month)-ops_start_mo, 12)))</f>
        <v>0.41791830378514994</v>
      </c>
      <c r="CO30" s="50" cm="1">
        <f t="array" ref="CO30">_xlfn.IFS(_xlfn.SINGLE(Month)&lt;ops_start_mo,0,
_xlfn.SINGLE(Month)&gt;=ops_start_mo,
base_price_kWh*POWER(1+inflation_electricity,QUOTIENT(_xlfn.SINGLE(Month)-ops_start_mo, 12)))</f>
        <v>0.41791830378514994</v>
      </c>
      <c r="CP30" s="50" cm="1">
        <f t="array" ref="CP30">_xlfn.IFS(_xlfn.SINGLE(Month)&lt;ops_start_mo,0,
_xlfn.SINGLE(Month)&gt;=ops_start_mo,
base_price_kWh*POWER(1+inflation_electricity,QUOTIENT(_xlfn.SINGLE(Month)-ops_start_mo, 12)))</f>
        <v>0.41791830378514994</v>
      </c>
      <c r="CQ30" s="50" cm="1">
        <f t="array" ref="CQ30">_xlfn.IFS(_xlfn.SINGLE(Month)&lt;ops_start_mo,0,
_xlfn.SINGLE(Month)&gt;=ops_start_mo,
base_price_kWh*POWER(1+inflation_electricity,QUOTIENT(_xlfn.SINGLE(Month)-ops_start_mo, 12)))</f>
        <v>0.41791830378514994</v>
      </c>
      <c r="CR30" s="50" cm="1">
        <f t="array" ref="CR30">_xlfn.IFS(_xlfn.SINGLE(Month)&lt;ops_start_mo,0,
_xlfn.SINGLE(Month)&gt;=ops_start_mo,
base_price_kWh*POWER(1+inflation_electricity,QUOTIENT(_xlfn.SINGLE(Month)-ops_start_mo, 12)))</f>
        <v>0.41791830378514994</v>
      </c>
      <c r="CS30" s="50" cm="1">
        <f t="array" ref="CS30">_xlfn.IFS(_xlfn.SINGLE(Month)&lt;ops_start_mo,0,
_xlfn.SINGLE(Month)&gt;=ops_start_mo,
base_price_kWh*POWER(1+inflation_electricity,QUOTIENT(_xlfn.SINGLE(Month)-ops_start_mo, 12)))</f>
        <v>0.41791830378514994</v>
      </c>
      <c r="CT30" s="50" cm="1">
        <f t="array" ref="CT30">_xlfn.IFS(_xlfn.SINGLE(Month)&lt;ops_start_mo,0,
_xlfn.SINGLE(Month)&gt;=ops_start_mo,
base_price_kWh*POWER(1+inflation_electricity,QUOTIENT(_xlfn.SINGLE(Month)-ops_start_mo, 12)))</f>
        <v>0.41791830378514994</v>
      </c>
      <c r="CU30" s="50" cm="1">
        <f t="array" ref="CU30">_xlfn.IFS(_xlfn.SINGLE(Month)&lt;ops_start_mo,0,
_xlfn.SINGLE(Month)&gt;=ops_start_mo,
base_price_kWh*POWER(1+inflation_electricity,QUOTIENT(_xlfn.SINGLE(Month)-ops_start_mo, 12)))</f>
        <v>0.41791830378514994</v>
      </c>
      <c r="CV30" s="50" cm="1">
        <f t="array" ref="CV30">_xlfn.IFS(_xlfn.SINGLE(Month)&lt;ops_start_mo,0,
_xlfn.SINGLE(Month)&gt;=ops_start_mo,
base_price_kWh*POWER(1+inflation_electricity,QUOTIENT(_xlfn.SINGLE(Month)-ops_start_mo, 12)))</f>
        <v>0.43045585289870447</v>
      </c>
      <c r="CW30" s="50" cm="1">
        <f t="array" ref="CW30">_xlfn.IFS(_xlfn.SINGLE(Month)&lt;ops_start_mo,0,
_xlfn.SINGLE(Month)&gt;=ops_start_mo,
base_price_kWh*POWER(1+inflation_electricity,QUOTIENT(_xlfn.SINGLE(Month)-ops_start_mo, 12)))</f>
        <v>0.43045585289870447</v>
      </c>
      <c r="CX30" s="50" cm="1">
        <f t="array" ref="CX30">_xlfn.IFS(_xlfn.SINGLE(Month)&lt;ops_start_mo,0,
_xlfn.SINGLE(Month)&gt;=ops_start_mo,
base_price_kWh*POWER(1+inflation_electricity,QUOTIENT(_xlfn.SINGLE(Month)-ops_start_mo, 12)))</f>
        <v>0.43045585289870447</v>
      </c>
      <c r="CY30" s="50" cm="1">
        <f t="array" ref="CY30">_xlfn.IFS(_xlfn.SINGLE(Month)&lt;ops_start_mo,0,
_xlfn.SINGLE(Month)&gt;=ops_start_mo,
base_price_kWh*POWER(1+inflation_electricity,QUOTIENT(_xlfn.SINGLE(Month)-ops_start_mo, 12)))</f>
        <v>0.43045585289870447</v>
      </c>
      <c r="CZ30" s="50" cm="1">
        <f t="array" ref="CZ30">_xlfn.IFS(_xlfn.SINGLE(Month)&lt;ops_start_mo,0,
_xlfn.SINGLE(Month)&gt;=ops_start_mo,
base_price_kWh*POWER(1+inflation_electricity,QUOTIENT(_xlfn.SINGLE(Month)-ops_start_mo, 12)))</f>
        <v>0.43045585289870447</v>
      </c>
      <c r="DA30" s="50" cm="1">
        <f t="array" ref="DA30">_xlfn.IFS(_xlfn.SINGLE(Month)&lt;ops_start_mo,0,
_xlfn.SINGLE(Month)&gt;=ops_start_mo,
base_price_kWh*POWER(1+inflation_electricity,QUOTIENT(_xlfn.SINGLE(Month)-ops_start_mo, 12)))</f>
        <v>0.43045585289870447</v>
      </c>
      <c r="DB30" s="50" cm="1">
        <f t="array" ref="DB30">_xlfn.IFS(_xlfn.SINGLE(Month)&lt;ops_start_mo,0,
_xlfn.SINGLE(Month)&gt;=ops_start_mo,
base_price_kWh*POWER(1+inflation_electricity,QUOTIENT(_xlfn.SINGLE(Month)-ops_start_mo, 12)))</f>
        <v>0.43045585289870447</v>
      </c>
      <c r="DC30" s="50" cm="1">
        <f t="array" ref="DC30">_xlfn.IFS(_xlfn.SINGLE(Month)&lt;ops_start_mo,0,
_xlfn.SINGLE(Month)&gt;=ops_start_mo,
base_price_kWh*POWER(1+inflation_electricity,QUOTIENT(_xlfn.SINGLE(Month)-ops_start_mo, 12)))</f>
        <v>0.43045585289870447</v>
      </c>
      <c r="DD30" s="50" cm="1">
        <f t="array" ref="DD30">_xlfn.IFS(_xlfn.SINGLE(Month)&lt;ops_start_mo,0,
_xlfn.SINGLE(Month)&gt;=ops_start_mo,
base_price_kWh*POWER(1+inflation_electricity,QUOTIENT(_xlfn.SINGLE(Month)-ops_start_mo, 12)))</f>
        <v>0.43045585289870447</v>
      </c>
      <c r="DE30" s="50" cm="1">
        <f t="array" ref="DE30">_xlfn.IFS(_xlfn.SINGLE(Month)&lt;ops_start_mo,0,
_xlfn.SINGLE(Month)&gt;=ops_start_mo,
base_price_kWh*POWER(1+inflation_electricity,QUOTIENT(_xlfn.SINGLE(Month)-ops_start_mo, 12)))</f>
        <v>0.43045585289870447</v>
      </c>
      <c r="DF30" s="50" cm="1">
        <f t="array" ref="DF30">_xlfn.IFS(_xlfn.SINGLE(Month)&lt;ops_start_mo,0,
_xlfn.SINGLE(Month)&gt;=ops_start_mo,
base_price_kWh*POWER(1+inflation_electricity,QUOTIENT(_xlfn.SINGLE(Month)-ops_start_mo, 12)))</f>
        <v>0.43045585289870447</v>
      </c>
      <c r="DG30" s="50" cm="1">
        <f t="array" ref="DG30">_xlfn.IFS(_xlfn.SINGLE(Month)&lt;ops_start_mo,0,
_xlfn.SINGLE(Month)&gt;=ops_start_mo,
base_price_kWh*POWER(1+inflation_electricity,QUOTIENT(_xlfn.SINGLE(Month)-ops_start_mo, 12)))</f>
        <v>0.43045585289870447</v>
      </c>
      <c r="DH30" s="50" cm="1">
        <f t="array" ref="DH30">_xlfn.IFS(_xlfn.SINGLE(Month)&lt;ops_start_mo,0,
_xlfn.SINGLE(Month)&gt;=ops_start_mo,
base_price_kWh*POWER(1+inflation_electricity,QUOTIENT(_xlfn.SINGLE(Month)-ops_start_mo, 12)))</f>
        <v>0.44336952848566552</v>
      </c>
      <c r="DI30" s="50" cm="1">
        <f t="array" ref="DI30">_xlfn.IFS(_xlfn.SINGLE(Month)&lt;ops_start_mo,0,
_xlfn.SINGLE(Month)&gt;=ops_start_mo,
base_price_kWh*POWER(1+inflation_electricity,QUOTIENT(_xlfn.SINGLE(Month)-ops_start_mo, 12)))</f>
        <v>0.44336952848566552</v>
      </c>
      <c r="DJ30" s="50" cm="1">
        <f t="array" ref="DJ30">_xlfn.IFS(_xlfn.SINGLE(Month)&lt;ops_start_mo,0,
_xlfn.SINGLE(Month)&gt;=ops_start_mo,
base_price_kWh*POWER(1+inflation_electricity,QUOTIENT(_xlfn.SINGLE(Month)-ops_start_mo, 12)))</f>
        <v>0.44336952848566552</v>
      </c>
      <c r="DK30" s="50" cm="1">
        <f t="array" ref="DK30">_xlfn.IFS(_xlfn.SINGLE(Month)&lt;ops_start_mo,0,
_xlfn.SINGLE(Month)&gt;=ops_start_mo,
base_price_kWh*POWER(1+inflation_electricity,QUOTIENT(_xlfn.SINGLE(Month)-ops_start_mo, 12)))</f>
        <v>0.44336952848566552</v>
      </c>
      <c r="DL30" s="50" cm="1">
        <f t="array" ref="DL30">_xlfn.IFS(_xlfn.SINGLE(Month)&lt;ops_start_mo,0,
_xlfn.SINGLE(Month)&gt;=ops_start_mo,
base_price_kWh*POWER(1+inflation_electricity,QUOTIENT(_xlfn.SINGLE(Month)-ops_start_mo, 12)))</f>
        <v>0.44336952848566552</v>
      </c>
      <c r="DM30" s="50" cm="1">
        <f t="array" ref="DM30">_xlfn.IFS(_xlfn.SINGLE(Month)&lt;ops_start_mo,0,
_xlfn.SINGLE(Month)&gt;=ops_start_mo,
base_price_kWh*POWER(1+inflation_electricity,QUOTIENT(_xlfn.SINGLE(Month)-ops_start_mo, 12)))</f>
        <v>0.44336952848566552</v>
      </c>
      <c r="DN30" s="50" cm="1">
        <f t="array" ref="DN30">_xlfn.IFS(_xlfn.SINGLE(Month)&lt;ops_start_mo,0,
_xlfn.SINGLE(Month)&gt;=ops_start_mo,
base_price_kWh*POWER(1+inflation_electricity,QUOTIENT(_xlfn.SINGLE(Month)-ops_start_mo, 12)))</f>
        <v>0.44336952848566552</v>
      </c>
      <c r="DO30" s="50" cm="1">
        <f t="array" ref="DO30">_xlfn.IFS(_xlfn.SINGLE(Month)&lt;ops_start_mo,0,
_xlfn.SINGLE(Month)&gt;=ops_start_mo,
base_price_kWh*POWER(1+inflation_electricity,QUOTIENT(_xlfn.SINGLE(Month)-ops_start_mo, 12)))</f>
        <v>0.44336952848566552</v>
      </c>
      <c r="DP30" s="50" cm="1">
        <f t="array" ref="DP30">_xlfn.IFS(_xlfn.SINGLE(Month)&lt;ops_start_mo,0,
_xlfn.SINGLE(Month)&gt;=ops_start_mo,
base_price_kWh*POWER(1+inflation_electricity,QUOTIENT(_xlfn.SINGLE(Month)-ops_start_mo, 12)))</f>
        <v>0.44336952848566552</v>
      </c>
      <c r="DQ30" s="50" cm="1">
        <f t="array" ref="DQ30">_xlfn.IFS(_xlfn.SINGLE(Month)&lt;ops_start_mo,0,
_xlfn.SINGLE(Month)&gt;=ops_start_mo,
base_price_kWh*POWER(1+inflation_electricity,QUOTIENT(_xlfn.SINGLE(Month)-ops_start_mo, 12)))</f>
        <v>0.44336952848566552</v>
      </c>
      <c r="DR30" s="50" cm="1">
        <f t="array" ref="DR30">_xlfn.IFS(_xlfn.SINGLE(Month)&lt;ops_start_mo,0,
_xlfn.SINGLE(Month)&gt;=ops_start_mo,
base_price_kWh*POWER(1+inflation_electricity,QUOTIENT(_xlfn.SINGLE(Month)-ops_start_mo, 12)))</f>
        <v>0.44336952848566552</v>
      </c>
      <c r="DS30" s="50" cm="1">
        <f t="array" ref="DS30">_xlfn.IFS(_xlfn.SINGLE(Month)&lt;ops_start_mo,0,
_xlfn.SINGLE(Month)&gt;=ops_start_mo,
base_price_kWh*POWER(1+inflation_electricity,QUOTIENT(_xlfn.SINGLE(Month)-ops_start_mo, 12)))</f>
        <v>0.44336952848566552</v>
      </c>
    </row>
    <row r="31" spans="1:123" x14ac:dyDescent="0.35">
      <c r="A31" s="54"/>
      <c r="B31" s="54" t="s">
        <v>120</v>
      </c>
      <c r="C31" s="76">
        <f xml:space="preserve"> _xlfn.SINGLE(mini_customer_FCST)*mini_avg_charge*mini_batt_capacity</f>
        <v>0</v>
      </c>
      <c r="D31" s="76">
        <f t="shared" ref="D31:BN31" si="252" xml:space="preserve"> _xlfn.SINGLE(mini_customer_FCST)*mini_avg_charge*mini_batt_capacity</f>
        <v>0</v>
      </c>
      <c r="E31" s="76">
        <f t="shared" si="252"/>
        <v>0</v>
      </c>
      <c r="F31" s="76">
        <f t="shared" si="252"/>
        <v>0</v>
      </c>
      <c r="G31" s="76">
        <f t="shared" si="252"/>
        <v>0</v>
      </c>
      <c r="H31" s="76">
        <f t="shared" si="252"/>
        <v>0</v>
      </c>
      <c r="I31" s="76">
        <f t="shared" si="252"/>
        <v>0</v>
      </c>
      <c r="J31" s="76">
        <f t="shared" si="252"/>
        <v>0</v>
      </c>
      <c r="K31" s="76">
        <f t="shared" si="252"/>
        <v>0</v>
      </c>
      <c r="L31" s="76">
        <f t="shared" si="252"/>
        <v>0</v>
      </c>
      <c r="M31" s="76">
        <f t="shared" si="252"/>
        <v>0</v>
      </c>
      <c r="N31" s="76">
        <f t="shared" si="252"/>
        <v>0</v>
      </c>
      <c r="O31" s="76">
        <f t="shared" si="252"/>
        <v>0</v>
      </c>
      <c r="P31" s="76">
        <f t="shared" si="252"/>
        <v>1625</v>
      </c>
      <c r="Q31" s="76">
        <f t="shared" si="252"/>
        <v>1657.5</v>
      </c>
      <c r="R31" s="76">
        <f t="shared" si="252"/>
        <v>1690.6499999999999</v>
      </c>
      <c r="S31" s="76">
        <f t="shared" si="252"/>
        <v>1724.4629999999997</v>
      </c>
      <c r="T31" s="76">
        <f t="shared" si="252"/>
        <v>1758.9522600000003</v>
      </c>
      <c r="U31" s="76">
        <f t="shared" si="252"/>
        <v>1794.1313052000003</v>
      </c>
      <c r="V31" s="76">
        <f t="shared" si="252"/>
        <v>1830.0139313040002</v>
      </c>
      <c r="W31" s="76">
        <f t="shared" si="252"/>
        <v>1866.6142099300796</v>
      </c>
      <c r="X31" s="76">
        <f t="shared" si="252"/>
        <v>1903.9464941286817</v>
      </c>
      <c r="Y31" s="76">
        <f t="shared" si="252"/>
        <v>1942.0254240112552</v>
      </c>
      <c r="Z31" s="76">
        <f t="shared" si="252"/>
        <v>1980.8659324914804</v>
      </c>
      <c r="AA31" s="76">
        <f t="shared" si="252"/>
        <v>2020.4832511413094</v>
      </c>
      <c r="AB31" s="76">
        <f t="shared" si="252"/>
        <v>2060.8929161641358</v>
      </c>
      <c r="AC31" s="76">
        <f t="shared" si="252"/>
        <v>2102.1107744874184</v>
      </c>
      <c r="AD31" s="76">
        <f t="shared" si="252"/>
        <v>2144.1529899771672</v>
      </c>
      <c r="AE31" s="76">
        <f t="shared" si="252"/>
        <v>2187.0360497767101</v>
      </c>
      <c r="AF31" s="76">
        <f t="shared" si="252"/>
        <v>2230.7767707722446</v>
      </c>
      <c r="AG31" s="76">
        <f t="shared" si="252"/>
        <v>2275.3923061876899</v>
      </c>
      <c r="AH31" s="76">
        <f t="shared" si="252"/>
        <v>2320.9001523114434</v>
      </c>
      <c r="AI31" s="76">
        <f t="shared" si="252"/>
        <v>2367.3181553576724</v>
      </c>
      <c r="AJ31" s="76">
        <f t="shared" si="252"/>
        <v>2414.6645184648255</v>
      </c>
      <c r="AK31" s="76">
        <f t="shared" si="252"/>
        <v>2462.9578088341218</v>
      </c>
      <c r="AL31" s="76">
        <f t="shared" si="252"/>
        <v>2512.2169650108049</v>
      </c>
      <c r="AM31" s="76">
        <f t="shared" si="252"/>
        <v>2562.4613043110207</v>
      </c>
      <c r="AN31" s="76">
        <f t="shared" si="252"/>
        <v>2613.7105303972407</v>
      </c>
      <c r="AO31" s="76">
        <f t="shared" si="252"/>
        <v>2665.9847410051857</v>
      </c>
      <c r="AP31" s="76">
        <f t="shared" si="252"/>
        <v>2719.3044358252896</v>
      </c>
      <c r="AQ31" s="76">
        <f t="shared" si="252"/>
        <v>2773.6905245417947</v>
      </c>
      <c r="AR31" s="76">
        <f t="shared" si="252"/>
        <v>2829.1643350326312</v>
      </c>
      <c r="AS31" s="76">
        <f t="shared" si="252"/>
        <v>2885.7476217332833</v>
      </c>
      <c r="AT31" s="76">
        <f t="shared" si="252"/>
        <v>2943.4625741679497</v>
      </c>
      <c r="AU31" s="76">
        <f t="shared" si="252"/>
        <v>3002.3318256513076</v>
      </c>
      <c r="AV31" s="76">
        <f t="shared" si="252"/>
        <v>3062.3784621643345</v>
      </c>
      <c r="AW31" s="76">
        <f t="shared" si="252"/>
        <v>3123.6260314076212</v>
      </c>
      <c r="AX31" s="76">
        <f t="shared" si="252"/>
        <v>3186.0985520357735</v>
      </c>
      <c r="AY31" s="76">
        <f t="shared" si="252"/>
        <v>3249.8205230764897</v>
      </c>
      <c r="AZ31" s="76">
        <f t="shared" si="252"/>
        <v>3314.816933538018</v>
      </c>
      <c r="BA31" s="76">
        <f t="shared" si="252"/>
        <v>3381.1132722087791</v>
      </c>
      <c r="BB31" s="76">
        <f t="shared" si="252"/>
        <v>3448.7355376529558</v>
      </c>
      <c r="BC31" s="76">
        <f t="shared" si="252"/>
        <v>3517.7102484060138</v>
      </c>
      <c r="BD31" s="76">
        <f t="shared" si="252"/>
        <v>3588.0644533741347</v>
      </c>
      <c r="BE31" s="76">
        <f t="shared" si="252"/>
        <v>3659.825742441617</v>
      </c>
      <c r="BF31" s="76">
        <f t="shared" si="252"/>
        <v>3733.022257290449</v>
      </c>
      <c r="BG31" s="76">
        <f t="shared" si="252"/>
        <v>3807.6827024362578</v>
      </c>
      <c r="BH31" s="76">
        <f t="shared" si="252"/>
        <v>3883.8363564849838</v>
      </c>
      <c r="BI31" s="76">
        <f t="shared" si="252"/>
        <v>3961.5130836146832</v>
      </c>
      <c r="BJ31" s="76">
        <f t="shared" si="252"/>
        <v>4040.7433452869768</v>
      </c>
      <c r="BK31" s="76">
        <f t="shared" si="252"/>
        <v>4121.5582121927155</v>
      </c>
      <c r="BL31" s="76">
        <f t="shared" si="252"/>
        <v>4203.9893764365697</v>
      </c>
      <c r="BM31" s="76">
        <f t="shared" si="252"/>
        <v>4288.0691639653014</v>
      </c>
      <c r="BN31" s="76">
        <f t="shared" si="252"/>
        <v>4373.8305472446082</v>
      </c>
      <c r="BO31" s="76">
        <f t="shared" ref="BO31:DS31" si="253" xml:space="preserve"> _xlfn.SINGLE(mini_customer_FCST)*mini_avg_charge*mini_batt_capacity</f>
        <v>4461.3071581895001</v>
      </c>
      <c r="BP31" s="76">
        <f t="shared" si="253"/>
        <v>4550.5333013532909</v>
      </c>
      <c r="BQ31" s="76">
        <f t="shared" si="253"/>
        <v>4641.5439673803548</v>
      </c>
      <c r="BR31" s="76">
        <f t="shared" si="253"/>
        <v>4734.374846727962</v>
      </c>
      <c r="BS31" s="76">
        <f t="shared" si="253"/>
        <v>4829.062343662521</v>
      </c>
      <c r="BT31" s="76">
        <f t="shared" si="253"/>
        <v>4925.6435905357712</v>
      </c>
      <c r="BU31" s="76">
        <f t="shared" si="253"/>
        <v>5024.1564623464874</v>
      </c>
      <c r="BV31" s="76">
        <f t="shared" si="253"/>
        <v>5124.6395915934172</v>
      </c>
      <c r="BW31" s="76">
        <f t="shared" si="253"/>
        <v>5227.1323834252844</v>
      </c>
      <c r="BX31" s="76">
        <f t="shared" si="253"/>
        <v>5253.2680453424109</v>
      </c>
      <c r="BY31" s="76">
        <f t="shared" si="253"/>
        <v>5279.5343855691217</v>
      </c>
      <c r="BZ31" s="76">
        <f t="shared" si="253"/>
        <v>5305.932057496967</v>
      </c>
      <c r="CA31" s="76">
        <f t="shared" si="253"/>
        <v>5332.4617177844502</v>
      </c>
      <c r="CB31" s="76">
        <f t="shared" si="253"/>
        <v>5359.1240263733707</v>
      </c>
      <c r="CC31" s="76">
        <f t="shared" si="253"/>
        <v>5385.9196465052373</v>
      </c>
      <c r="CD31" s="76">
        <f t="shared" si="253"/>
        <v>5412.8492447377621</v>
      </c>
      <c r="CE31" s="76">
        <f t="shared" si="253"/>
        <v>5439.9134909614513</v>
      </c>
      <c r="CF31" s="76">
        <f t="shared" si="253"/>
        <v>5467.1130584162584</v>
      </c>
      <c r="CG31" s="76">
        <f t="shared" si="253"/>
        <v>5494.4486237083393</v>
      </c>
      <c r="CH31" s="76">
        <f t="shared" si="253"/>
        <v>5521.9208668268802</v>
      </c>
      <c r="CI31" s="76">
        <f t="shared" si="253"/>
        <v>5549.5304711610115</v>
      </c>
      <c r="CJ31" s="76">
        <f t="shared" si="253"/>
        <v>5577.2781235168168</v>
      </c>
      <c r="CK31" s="76">
        <f t="shared" si="253"/>
        <v>5605.1645141344006</v>
      </c>
      <c r="CL31" s="76">
        <f t="shared" si="253"/>
        <v>5633.1903367050709</v>
      </c>
      <c r="CM31" s="76">
        <f t="shared" si="253"/>
        <v>5661.3562883885952</v>
      </c>
      <c r="CN31" s="76">
        <f t="shared" si="253"/>
        <v>5689.663069830538</v>
      </c>
      <c r="CO31" s="76">
        <f t="shared" si="253"/>
        <v>5718.111385179689</v>
      </c>
      <c r="CP31" s="76">
        <f t="shared" si="253"/>
        <v>5746.7019421055866</v>
      </c>
      <c r="CQ31" s="76">
        <f t="shared" si="253"/>
        <v>5775.4354518161144</v>
      </c>
      <c r="CR31" s="76">
        <f t="shared" si="253"/>
        <v>5804.3126290751925</v>
      </c>
      <c r="CS31" s="76">
        <f t="shared" si="253"/>
        <v>5833.3341922205691</v>
      </c>
      <c r="CT31" s="76">
        <f t="shared" si="253"/>
        <v>5862.50086318167</v>
      </c>
      <c r="CU31" s="76">
        <f t="shared" si="253"/>
        <v>5891.8133674975788</v>
      </c>
      <c r="CV31" s="76">
        <f t="shared" si="253"/>
        <v>5921.2724343350656</v>
      </c>
      <c r="CW31" s="76">
        <f t="shared" si="253"/>
        <v>5950.8787965067404</v>
      </c>
      <c r="CX31" s="76">
        <f t="shared" si="253"/>
        <v>5980.6331904892731</v>
      </c>
      <c r="CY31" s="76">
        <f t="shared" si="253"/>
        <v>6010.5363564417185</v>
      </c>
      <c r="CZ31" s="76">
        <f t="shared" si="253"/>
        <v>6040.5890382239268</v>
      </c>
      <c r="DA31" s="76">
        <f t="shared" si="253"/>
        <v>6070.7919834150443</v>
      </c>
      <c r="DB31" s="76">
        <f t="shared" si="253"/>
        <v>6101.1459433321188</v>
      </c>
      <c r="DC31" s="76">
        <f t="shared" si="253"/>
        <v>6131.6516730487783</v>
      </c>
      <c r="DD31" s="76">
        <f t="shared" si="253"/>
        <v>6162.3099314140209</v>
      </c>
      <c r="DE31" s="76">
        <f t="shared" si="253"/>
        <v>6193.1214810710899</v>
      </c>
      <c r="DF31" s="76">
        <f t="shared" si="253"/>
        <v>6224.0870884764454</v>
      </c>
      <c r="DG31" s="76">
        <f t="shared" si="253"/>
        <v>6255.2075239188252</v>
      </c>
      <c r="DH31" s="76">
        <f t="shared" si="253"/>
        <v>6286.4835615384181</v>
      </c>
      <c r="DI31" s="76">
        <f t="shared" si="253"/>
        <v>6317.9159793461104</v>
      </c>
      <c r="DJ31" s="76">
        <f t="shared" si="253"/>
        <v>6349.5055592428398</v>
      </c>
      <c r="DK31" s="76">
        <f t="shared" si="253"/>
        <v>6381.2530870390538</v>
      </c>
      <c r="DL31" s="76">
        <f t="shared" si="253"/>
        <v>6413.1593524742484</v>
      </c>
      <c r="DM31" s="76">
        <f t="shared" si="253"/>
        <v>6445.2251492366177</v>
      </c>
      <c r="DN31" s="76">
        <f t="shared" si="253"/>
        <v>6477.4512749828009</v>
      </c>
      <c r="DO31" s="76">
        <f t="shared" si="253"/>
        <v>6509.8385313577128</v>
      </c>
      <c r="DP31" s="76">
        <f t="shared" si="253"/>
        <v>6542.3877240145002</v>
      </c>
      <c r="DQ31" s="76">
        <f t="shared" si="253"/>
        <v>6575.0996626345723</v>
      </c>
      <c r="DR31" s="76">
        <f t="shared" si="253"/>
        <v>6607.9751609477426</v>
      </c>
      <c r="DS31" s="76">
        <f t="shared" si="253"/>
        <v>6641.015036752482</v>
      </c>
    </row>
    <row r="32" spans="1:123" x14ac:dyDescent="0.35">
      <c r="A32" s="54"/>
      <c r="B32" s="54" t="s">
        <v>121</v>
      </c>
      <c r="C32" s="76">
        <f xml:space="preserve"> _xlfn.SINGLE(reg_customer_FCST)*reg_avg_charge*reg_batt_capacity</f>
        <v>0</v>
      </c>
      <c r="D32" s="76">
        <f t="shared" ref="D32:BN32" si="254" xml:space="preserve"> _xlfn.SINGLE(reg_customer_FCST)*reg_avg_charge*reg_batt_capacity</f>
        <v>0</v>
      </c>
      <c r="E32" s="76">
        <f t="shared" si="254"/>
        <v>0</v>
      </c>
      <c r="F32" s="76">
        <f t="shared" si="254"/>
        <v>0</v>
      </c>
      <c r="G32" s="76">
        <f t="shared" si="254"/>
        <v>0</v>
      </c>
      <c r="H32" s="76">
        <f t="shared" si="254"/>
        <v>0</v>
      </c>
      <c r="I32" s="76">
        <f t="shared" si="254"/>
        <v>0</v>
      </c>
      <c r="J32" s="76">
        <f t="shared" si="254"/>
        <v>0</v>
      </c>
      <c r="K32" s="76">
        <f t="shared" si="254"/>
        <v>0</v>
      </c>
      <c r="L32" s="76">
        <f t="shared" si="254"/>
        <v>0</v>
      </c>
      <c r="M32" s="76">
        <f t="shared" si="254"/>
        <v>0</v>
      </c>
      <c r="N32" s="76">
        <f t="shared" si="254"/>
        <v>0</v>
      </c>
      <c r="O32" s="76">
        <f t="shared" si="254"/>
        <v>0</v>
      </c>
      <c r="P32" s="76">
        <f t="shared" si="254"/>
        <v>13750</v>
      </c>
      <c r="Q32" s="76">
        <f t="shared" si="254"/>
        <v>14162.5</v>
      </c>
      <c r="R32" s="76">
        <f t="shared" si="254"/>
        <v>14587.375</v>
      </c>
      <c r="S32" s="76">
        <f t="shared" si="254"/>
        <v>15024.996250000004</v>
      </c>
      <c r="T32" s="76">
        <f t="shared" si="254"/>
        <v>15475.746137499998</v>
      </c>
      <c r="U32" s="76">
        <f t="shared" si="254"/>
        <v>15940.018521625001</v>
      </c>
      <c r="V32" s="76">
        <f t="shared" si="254"/>
        <v>16418.219077273749</v>
      </c>
      <c r="W32" s="76">
        <f t="shared" si="254"/>
        <v>16910.765649591962</v>
      </c>
      <c r="X32" s="76">
        <f t="shared" si="254"/>
        <v>17418.088619079721</v>
      </c>
      <c r="Y32" s="76">
        <f t="shared" si="254"/>
        <v>17940.631277652112</v>
      </c>
      <c r="Z32" s="76">
        <f t="shared" si="254"/>
        <v>18478.850215981678</v>
      </c>
      <c r="AA32" s="76">
        <f t="shared" si="254"/>
        <v>19033.215722461129</v>
      </c>
      <c r="AB32" s="76">
        <f t="shared" si="254"/>
        <v>19604.212194134958</v>
      </c>
      <c r="AC32" s="76">
        <f t="shared" si="254"/>
        <v>20192.338559959007</v>
      </c>
      <c r="AD32" s="76">
        <f t="shared" si="254"/>
        <v>20798.108716757779</v>
      </c>
      <c r="AE32" s="76">
        <f t="shared" si="254"/>
        <v>21422.051978260512</v>
      </c>
      <c r="AF32" s="76">
        <f t="shared" si="254"/>
        <v>22064.713537608324</v>
      </c>
      <c r="AG32" s="76">
        <f t="shared" si="254"/>
        <v>22726.654943736576</v>
      </c>
      <c r="AH32" s="76">
        <f t="shared" si="254"/>
        <v>23408.454592048674</v>
      </c>
      <c r="AI32" s="76">
        <f t="shared" si="254"/>
        <v>24110.70822981013</v>
      </c>
      <c r="AJ32" s="76">
        <f t="shared" si="254"/>
        <v>24834.029476704436</v>
      </c>
      <c r="AK32" s="76">
        <f t="shared" si="254"/>
        <v>25579.050361005564</v>
      </c>
      <c r="AL32" s="76">
        <f t="shared" si="254"/>
        <v>26346.421871835737</v>
      </c>
      <c r="AM32" s="76">
        <f t="shared" si="254"/>
        <v>27136.814527990806</v>
      </c>
      <c r="AN32" s="76">
        <f t="shared" si="254"/>
        <v>27950.918963830525</v>
      </c>
      <c r="AO32" s="76">
        <f t="shared" si="254"/>
        <v>28789.446532745445</v>
      </c>
      <c r="AP32" s="76">
        <f t="shared" si="254"/>
        <v>29653.129928727816</v>
      </c>
      <c r="AQ32" s="76">
        <f t="shared" si="254"/>
        <v>30542.723826589638</v>
      </c>
      <c r="AR32" s="76">
        <f t="shared" si="254"/>
        <v>31459.005541387334</v>
      </c>
      <c r="AS32" s="76">
        <f t="shared" si="254"/>
        <v>32402.775707628945</v>
      </c>
      <c r="AT32" s="76">
        <f t="shared" si="254"/>
        <v>33374.858978857817</v>
      </c>
      <c r="AU32" s="76">
        <f t="shared" si="254"/>
        <v>34376.104748223552</v>
      </c>
      <c r="AV32" s="76">
        <f t="shared" si="254"/>
        <v>35407.387890670252</v>
      </c>
      <c r="AW32" s="76">
        <f t="shared" si="254"/>
        <v>36469.609527390363</v>
      </c>
      <c r="AX32" s="76">
        <f t="shared" si="254"/>
        <v>37563.697813212071</v>
      </c>
      <c r="AY32" s="76">
        <f t="shared" si="254"/>
        <v>38690.608747608436</v>
      </c>
      <c r="AZ32" s="76">
        <f t="shared" si="254"/>
        <v>39851.327010036686</v>
      </c>
      <c r="BA32" s="76">
        <f t="shared" si="254"/>
        <v>41046.866820337782</v>
      </c>
      <c r="BB32" s="76">
        <f t="shared" si="254"/>
        <v>42278.272824947919</v>
      </c>
      <c r="BC32" s="76">
        <f t="shared" si="254"/>
        <v>43546.621009696362</v>
      </c>
      <c r="BD32" s="76">
        <f t="shared" si="254"/>
        <v>44853.019639987244</v>
      </c>
      <c r="BE32" s="76">
        <f t="shared" si="254"/>
        <v>46198.610229186866</v>
      </c>
      <c r="BF32" s="76">
        <f t="shared" si="254"/>
        <v>47584.56853606247</v>
      </c>
      <c r="BG32" s="76">
        <f t="shared" si="254"/>
        <v>49012.10559214434</v>
      </c>
      <c r="BH32" s="76">
        <f t="shared" si="254"/>
        <v>50482.468759908668</v>
      </c>
      <c r="BI32" s="76">
        <f t="shared" si="254"/>
        <v>51996.942822705932</v>
      </c>
      <c r="BJ32" s="76">
        <f t="shared" si="254"/>
        <v>53556.851107387105</v>
      </c>
      <c r="BK32" s="76">
        <f t="shared" si="254"/>
        <v>55163.556640608724</v>
      </c>
      <c r="BL32" s="76">
        <f t="shared" si="254"/>
        <v>56818.463339826987</v>
      </c>
      <c r="BM32" s="76">
        <f t="shared" si="254"/>
        <v>58523.017240021785</v>
      </c>
      <c r="BN32" s="76">
        <f t="shared" si="254"/>
        <v>60278.707757222444</v>
      </c>
      <c r="BO32" s="76">
        <f t="shared" ref="BO32:DS32" si="255" xml:space="preserve"> _xlfn.SINGLE(reg_customer_FCST)*reg_avg_charge*reg_batt_capacity</f>
        <v>62087.068989939122</v>
      </c>
      <c r="BP32" s="76">
        <f t="shared" si="255"/>
        <v>63949.681059637296</v>
      </c>
      <c r="BQ32" s="76">
        <f t="shared" si="255"/>
        <v>65868.171491426387</v>
      </c>
      <c r="BR32" s="76">
        <f t="shared" si="255"/>
        <v>67844.216636169192</v>
      </c>
      <c r="BS32" s="76">
        <f t="shared" si="255"/>
        <v>69879.54313525428</v>
      </c>
      <c r="BT32" s="76">
        <f t="shared" si="255"/>
        <v>71975.929429311887</v>
      </c>
      <c r="BU32" s="76">
        <f t="shared" si="255"/>
        <v>74135.207312191254</v>
      </c>
      <c r="BV32" s="76">
        <f t="shared" si="255"/>
        <v>76359.263531556993</v>
      </c>
      <c r="BW32" s="76">
        <f t="shared" si="255"/>
        <v>78650.041437503693</v>
      </c>
      <c r="BX32" s="76">
        <f t="shared" si="255"/>
        <v>79043.291644691213</v>
      </c>
      <c r="BY32" s="76">
        <f t="shared" si="255"/>
        <v>79438.508102914653</v>
      </c>
      <c r="BZ32" s="76">
        <f t="shared" si="255"/>
        <v>79835.700643429227</v>
      </c>
      <c r="CA32" s="76">
        <f t="shared" si="255"/>
        <v>80234.87914664633</v>
      </c>
      <c r="CB32" s="76">
        <f t="shared" si="255"/>
        <v>80636.053542379552</v>
      </c>
      <c r="CC32" s="76">
        <f t="shared" si="255"/>
        <v>81039.233810091449</v>
      </c>
      <c r="CD32" s="76">
        <f t="shared" si="255"/>
        <v>81444.429979141889</v>
      </c>
      <c r="CE32" s="76">
        <f t="shared" si="255"/>
        <v>81851.652129037597</v>
      </c>
      <c r="CF32" s="76">
        <f t="shared" si="255"/>
        <v>82260.910389682787</v>
      </c>
      <c r="CG32" s="76">
        <f t="shared" si="255"/>
        <v>82672.214941631188</v>
      </c>
      <c r="CH32" s="76">
        <f t="shared" si="255"/>
        <v>83085.576016339328</v>
      </c>
      <c r="CI32" s="76">
        <f t="shared" si="255"/>
        <v>83501.003896420996</v>
      </c>
      <c r="CJ32" s="76">
        <f t="shared" si="255"/>
        <v>83918.50891590309</v>
      </c>
      <c r="CK32" s="76">
        <f t="shared" si="255"/>
        <v>84338.10146048259</v>
      </c>
      <c r="CL32" s="76">
        <f t="shared" si="255"/>
        <v>84759.791967784986</v>
      </c>
      <c r="CM32" s="76">
        <f t="shared" si="255"/>
        <v>85183.590927623896</v>
      </c>
      <c r="CN32" s="76">
        <f t="shared" si="255"/>
        <v>85609.508882262016</v>
      </c>
      <c r="CO32" s="76">
        <f t="shared" si="255"/>
        <v>86037.556426673298</v>
      </c>
      <c r="CP32" s="76">
        <f t="shared" si="255"/>
        <v>86467.74420880666</v>
      </c>
      <c r="CQ32" s="76">
        <f t="shared" si="255"/>
        <v>86900.082929850687</v>
      </c>
      <c r="CR32" s="76">
        <f t="shared" si="255"/>
        <v>87334.583344499915</v>
      </c>
      <c r="CS32" s="76">
        <f t="shared" si="255"/>
        <v>87771.256261222399</v>
      </c>
      <c r="CT32" s="76">
        <f t="shared" si="255"/>
        <v>88210.112542528499</v>
      </c>
      <c r="CU32" s="76">
        <f t="shared" si="255"/>
        <v>88651.163105241154</v>
      </c>
      <c r="CV32" s="76">
        <f t="shared" si="255"/>
        <v>89094.418920767333</v>
      </c>
      <c r="CW32" s="76">
        <f t="shared" si="255"/>
        <v>89539.891015371148</v>
      </c>
      <c r="CX32" s="76">
        <f t="shared" si="255"/>
        <v>89987.590470447991</v>
      </c>
      <c r="CY32" s="76">
        <f t="shared" si="255"/>
        <v>90437.528422800227</v>
      </c>
      <c r="CZ32" s="76">
        <f t="shared" si="255"/>
        <v>90889.716064914202</v>
      </c>
      <c r="DA32" s="76">
        <f t="shared" si="255"/>
        <v>91344.164645238765</v>
      </c>
      <c r="DB32" s="76">
        <f t="shared" si="255"/>
        <v>91800.885468464941</v>
      </c>
      <c r="DC32" s="76">
        <f t="shared" si="255"/>
        <v>92259.889895807253</v>
      </c>
      <c r="DD32" s="76">
        <f t="shared" si="255"/>
        <v>92721.189345286271</v>
      </c>
      <c r="DE32" s="76">
        <f t="shared" si="255"/>
        <v>93184.795292012685</v>
      </c>
      <c r="DF32" s="76">
        <f t="shared" si="255"/>
        <v>93650.719268472749</v>
      </c>
      <c r="DG32" s="76">
        <f t="shared" si="255"/>
        <v>94118.972864815078</v>
      </c>
      <c r="DH32" s="76">
        <f t="shared" si="255"/>
        <v>94589.567729139133</v>
      </c>
      <c r="DI32" s="76">
        <f t="shared" si="255"/>
        <v>95062.515567784823</v>
      </c>
      <c r="DJ32" s="76">
        <f t="shared" si="255"/>
        <v>95537.828145623731</v>
      </c>
      <c r="DK32" s="76">
        <f t="shared" si="255"/>
        <v>96015.517286351853</v>
      </c>
      <c r="DL32" s="76">
        <f t="shared" si="255"/>
        <v>96495.594872783593</v>
      </c>
      <c r="DM32" s="76">
        <f t="shared" si="255"/>
        <v>96978.072847147487</v>
      </c>
      <c r="DN32" s="76">
        <f t="shared" si="255"/>
        <v>97462.963211383219</v>
      </c>
      <c r="DO32" s="76">
        <f t="shared" si="255"/>
        <v>97950.27802744013</v>
      </c>
      <c r="DP32" s="76">
        <f t="shared" si="255"/>
        <v>98440.029417577302</v>
      </c>
      <c r="DQ32" s="76">
        <f t="shared" si="255"/>
        <v>98932.229564665176</v>
      </c>
      <c r="DR32" s="76">
        <f t="shared" si="255"/>
        <v>99426.890712488472</v>
      </c>
      <c r="DS32" s="76">
        <f t="shared" si="255"/>
        <v>99924.025166050909</v>
      </c>
    </row>
    <row r="33" spans="1:123" x14ac:dyDescent="0.35">
      <c r="A33" s="54"/>
      <c r="B33" s="54" t="s">
        <v>122</v>
      </c>
      <c r="C33" s="76">
        <f xml:space="preserve"> _xlfn.SINGLE(prem_customer_FCST)*prem_avg_charge*prem_batt_capacity</f>
        <v>0</v>
      </c>
      <c r="D33" s="76">
        <f t="shared" ref="D33:BN33" si="256" xml:space="preserve"> _xlfn.SINGLE(prem_customer_FCST)*prem_avg_charge*prem_batt_capacity</f>
        <v>0</v>
      </c>
      <c r="E33" s="76">
        <f t="shared" si="256"/>
        <v>0</v>
      </c>
      <c r="F33" s="76">
        <f t="shared" si="256"/>
        <v>0</v>
      </c>
      <c r="G33" s="76">
        <f t="shared" si="256"/>
        <v>0</v>
      </c>
      <c r="H33" s="76">
        <f t="shared" si="256"/>
        <v>0</v>
      </c>
      <c r="I33" s="76">
        <f t="shared" si="256"/>
        <v>0</v>
      </c>
      <c r="J33" s="76">
        <f t="shared" si="256"/>
        <v>0</v>
      </c>
      <c r="K33" s="76">
        <f t="shared" si="256"/>
        <v>0</v>
      </c>
      <c r="L33" s="76">
        <f t="shared" si="256"/>
        <v>0</v>
      </c>
      <c r="M33" s="76">
        <f t="shared" si="256"/>
        <v>0</v>
      </c>
      <c r="N33" s="76">
        <f t="shared" si="256"/>
        <v>0</v>
      </c>
      <c r="O33" s="76">
        <f t="shared" si="256"/>
        <v>0</v>
      </c>
      <c r="P33" s="76">
        <f t="shared" si="256"/>
        <v>16000</v>
      </c>
      <c r="Q33" s="76">
        <f t="shared" si="256"/>
        <v>16160.000000000002</v>
      </c>
      <c r="R33" s="76">
        <f t="shared" si="256"/>
        <v>16321.6</v>
      </c>
      <c r="S33" s="76">
        <f t="shared" si="256"/>
        <v>16484.815999999999</v>
      </c>
      <c r="T33" s="76">
        <f t="shared" si="256"/>
        <v>16649.66416</v>
      </c>
      <c r="U33" s="76">
        <f t="shared" si="256"/>
        <v>16816.160801599999</v>
      </c>
      <c r="V33" s="76">
        <f t="shared" si="256"/>
        <v>16984.322409616005</v>
      </c>
      <c r="W33" s="76">
        <f t="shared" si="256"/>
        <v>17154.16563371216</v>
      </c>
      <c r="X33" s="76">
        <f t="shared" si="256"/>
        <v>17325.707290049286</v>
      </c>
      <c r="Y33" s="76">
        <f t="shared" si="256"/>
        <v>17498.964362949777</v>
      </c>
      <c r="Z33" s="76">
        <f t="shared" si="256"/>
        <v>17673.954006579275</v>
      </c>
      <c r="AA33" s="76">
        <f t="shared" si="256"/>
        <v>17850.693546645067</v>
      </c>
      <c r="AB33" s="76">
        <f t="shared" si="256"/>
        <v>18029.200482111519</v>
      </c>
      <c r="AC33" s="76">
        <f t="shared" si="256"/>
        <v>18209.492486932631</v>
      </c>
      <c r="AD33" s="76">
        <f t="shared" si="256"/>
        <v>18391.58741180196</v>
      </c>
      <c r="AE33" s="76">
        <f t="shared" si="256"/>
        <v>18575.503285919975</v>
      </c>
      <c r="AF33" s="76">
        <f t="shared" si="256"/>
        <v>18761.258318779182</v>
      </c>
      <c r="AG33" s="76">
        <f t="shared" si="256"/>
        <v>18948.870901966973</v>
      </c>
      <c r="AH33" s="76">
        <f t="shared" si="256"/>
        <v>19138.359610986645</v>
      </c>
      <c r="AI33" s="76">
        <f t="shared" si="256"/>
        <v>19329.743207096508</v>
      </c>
      <c r="AJ33" s="76">
        <f t="shared" si="256"/>
        <v>19523.040639167473</v>
      </c>
      <c r="AK33" s="76">
        <f t="shared" si="256"/>
        <v>19718.271045559148</v>
      </c>
      <c r="AL33" s="76">
        <f t="shared" si="256"/>
        <v>19915.453756014744</v>
      </c>
      <c r="AM33" s="76">
        <f t="shared" si="256"/>
        <v>20114.608293574885</v>
      </c>
      <c r="AN33" s="76">
        <f t="shared" si="256"/>
        <v>20315.754376510642</v>
      </c>
      <c r="AO33" s="76">
        <f t="shared" si="256"/>
        <v>20518.911920275754</v>
      </c>
      <c r="AP33" s="76">
        <f t="shared" si="256"/>
        <v>20724.101039478508</v>
      </c>
      <c r="AQ33" s="76">
        <f t="shared" si="256"/>
        <v>20931.342049873285</v>
      </c>
      <c r="AR33" s="76">
        <f t="shared" si="256"/>
        <v>21140.655470372018</v>
      </c>
      <c r="AS33" s="76">
        <f t="shared" si="256"/>
        <v>21352.062025075738</v>
      </c>
      <c r="AT33" s="76">
        <f t="shared" si="256"/>
        <v>21565.5826453265</v>
      </c>
      <c r="AU33" s="76">
        <f t="shared" si="256"/>
        <v>21781.238471779758</v>
      </c>
      <c r="AV33" s="76">
        <f t="shared" si="256"/>
        <v>21999.050856497561</v>
      </c>
      <c r="AW33" s="76">
        <f t="shared" si="256"/>
        <v>22219.041365062541</v>
      </c>
      <c r="AX33" s="76">
        <f t="shared" si="256"/>
        <v>22441.231778713165</v>
      </c>
      <c r="AY33" s="76">
        <f t="shared" si="256"/>
        <v>22665.644096500291</v>
      </c>
      <c r="AZ33" s="76">
        <f t="shared" si="256"/>
        <v>22892.300537465293</v>
      </c>
      <c r="BA33" s="76">
        <f t="shared" si="256"/>
        <v>23121.223542839947</v>
      </c>
      <c r="BB33" s="76">
        <f t="shared" si="256"/>
        <v>23352.435778268351</v>
      </c>
      <c r="BC33" s="76">
        <f t="shared" si="256"/>
        <v>23585.960136051028</v>
      </c>
      <c r="BD33" s="76">
        <f t="shared" si="256"/>
        <v>23821.819737411544</v>
      </c>
      <c r="BE33" s="76">
        <f t="shared" si="256"/>
        <v>24060.037934785661</v>
      </c>
      <c r="BF33" s="76">
        <f t="shared" si="256"/>
        <v>24300.638314133521</v>
      </c>
      <c r="BG33" s="76">
        <f t="shared" si="256"/>
        <v>24543.644697274853</v>
      </c>
      <c r="BH33" s="76">
        <f t="shared" si="256"/>
        <v>24789.081144247597</v>
      </c>
      <c r="BI33" s="76">
        <f t="shared" si="256"/>
        <v>25036.971955690082</v>
      </c>
      <c r="BJ33" s="76">
        <f t="shared" si="256"/>
        <v>25287.341675246982</v>
      </c>
      <c r="BK33" s="76">
        <f t="shared" si="256"/>
        <v>25540.215091999446</v>
      </c>
      <c r="BL33" s="76">
        <f t="shared" si="256"/>
        <v>25795.617242919445</v>
      </c>
      <c r="BM33" s="76">
        <f t="shared" si="256"/>
        <v>26053.573415348645</v>
      </c>
      <c r="BN33" s="76">
        <f t="shared" si="256"/>
        <v>26314.109149502128</v>
      </c>
      <c r="BO33" s="76">
        <f t="shared" ref="BO33:DS33" si="257" xml:space="preserve"> _xlfn.SINGLE(prem_customer_FCST)*prem_avg_charge*prem_batt_capacity</f>
        <v>26577.250240997149</v>
      </c>
      <c r="BP33" s="76">
        <f t="shared" si="257"/>
        <v>26843.02274340712</v>
      </c>
      <c r="BQ33" s="76">
        <f t="shared" si="257"/>
        <v>27111.452970841186</v>
      </c>
      <c r="BR33" s="76">
        <f t="shared" si="257"/>
        <v>27382.567500549605</v>
      </c>
      <c r="BS33" s="76">
        <f t="shared" si="257"/>
        <v>27656.393175555098</v>
      </c>
      <c r="BT33" s="76">
        <f t="shared" si="257"/>
        <v>27932.957107310653</v>
      </c>
      <c r="BU33" s="76">
        <f t="shared" si="257"/>
        <v>28212.286678383764</v>
      </c>
      <c r="BV33" s="76">
        <f t="shared" si="257"/>
        <v>28494.4095451676</v>
      </c>
      <c r="BW33" s="76">
        <f t="shared" si="257"/>
        <v>28779.353640619269</v>
      </c>
      <c r="BX33" s="76">
        <f t="shared" si="257"/>
        <v>28923.250408822361</v>
      </c>
      <c r="BY33" s="76">
        <f t="shared" si="257"/>
        <v>29067.866660866468</v>
      </c>
      <c r="BZ33" s="76">
        <f t="shared" si="257"/>
        <v>29213.205994170796</v>
      </c>
      <c r="CA33" s="76">
        <f t="shared" si="257"/>
        <v>29359.272024141643</v>
      </c>
      <c r="CB33" s="76">
        <f t="shared" si="257"/>
        <v>29506.068384262348</v>
      </c>
      <c r="CC33" s="76">
        <f t="shared" si="257"/>
        <v>29653.598726183653</v>
      </c>
      <c r="CD33" s="76">
        <f t="shared" si="257"/>
        <v>29801.86671981457</v>
      </c>
      <c r="CE33" s="76">
        <f t="shared" si="257"/>
        <v>29950.876053413635</v>
      </c>
      <c r="CF33" s="76">
        <f t="shared" si="257"/>
        <v>30100.630433680704</v>
      </c>
      <c r="CG33" s="76">
        <f t="shared" si="257"/>
        <v>30251.1335858491</v>
      </c>
      <c r="CH33" s="76">
        <f t="shared" si="257"/>
        <v>30402.389253778339</v>
      </c>
      <c r="CI33" s="76">
        <f t="shared" si="257"/>
        <v>30554.401200047225</v>
      </c>
      <c r="CJ33" s="76">
        <f t="shared" si="257"/>
        <v>30707.173206047464</v>
      </c>
      <c r="CK33" s="76">
        <f t="shared" si="257"/>
        <v>30860.709072077691</v>
      </c>
      <c r="CL33" s="76">
        <f t="shared" si="257"/>
        <v>31015.012617438071</v>
      </c>
      <c r="CM33" s="76">
        <f t="shared" si="257"/>
        <v>31170.087680525263</v>
      </c>
      <c r="CN33" s="76">
        <f t="shared" si="257"/>
        <v>31325.938118927887</v>
      </c>
      <c r="CO33" s="76">
        <f t="shared" si="257"/>
        <v>31482.567809522516</v>
      </c>
      <c r="CP33" s="76">
        <f t="shared" si="257"/>
        <v>31639.980648570123</v>
      </c>
      <c r="CQ33" s="76">
        <f t="shared" si="257"/>
        <v>31798.180551812969</v>
      </c>
      <c r="CR33" s="76">
        <f t="shared" si="257"/>
        <v>31957.171454572028</v>
      </c>
      <c r="CS33" s="76">
        <f t="shared" si="257"/>
        <v>32116.957311844886</v>
      </c>
      <c r="CT33" s="76">
        <f t="shared" si="257"/>
        <v>32277.542098404105</v>
      </c>
      <c r="CU33" s="76">
        <f t="shared" si="257"/>
        <v>32438.929808896126</v>
      </c>
      <c r="CV33" s="76">
        <f t="shared" si="257"/>
        <v>32601.124457940597</v>
      </c>
      <c r="CW33" s="76">
        <f t="shared" si="257"/>
        <v>32764.130080230301</v>
      </c>
      <c r="CX33" s="76">
        <f t="shared" si="257"/>
        <v>32927.950730631441</v>
      </c>
      <c r="CY33" s="76">
        <f t="shared" si="257"/>
        <v>33092.590484284599</v>
      </c>
      <c r="CZ33" s="76">
        <f t="shared" si="257"/>
        <v>33258.05343670601</v>
      </c>
      <c r="DA33" s="76">
        <f t="shared" si="257"/>
        <v>33424.343703889535</v>
      </c>
      <c r="DB33" s="76">
        <f t="shared" si="257"/>
        <v>33591.465422408975</v>
      </c>
      <c r="DC33" s="76">
        <f t="shared" si="257"/>
        <v>33759.422749521014</v>
      </c>
      <c r="DD33" s="76">
        <f t="shared" si="257"/>
        <v>33928.21986326862</v>
      </c>
      <c r="DE33" s="76">
        <f t="shared" si="257"/>
        <v>34097.860962584957</v>
      </c>
      <c r="DF33" s="76">
        <f t="shared" si="257"/>
        <v>34268.35026739788</v>
      </c>
      <c r="DG33" s="76">
        <f t="shared" si="257"/>
        <v>34439.692018734851</v>
      </c>
      <c r="DH33" s="76">
        <f t="shared" si="257"/>
        <v>34611.890478828522</v>
      </c>
      <c r="DI33" s="76">
        <f t="shared" si="257"/>
        <v>34784.949931222669</v>
      </c>
      <c r="DJ33" s="76">
        <f t="shared" si="257"/>
        <v>34958.874680878776</v>
      </c>
      <c r="DK33" s="76">
        <f t="shared" si="257"/>
        <v>35133.669054283164</v>
      </c>
      <c r="DL33" s="76">
        <f t="shared" si="257"/>
        <v>35309.337399554577</v>
      </c>
      <c r="DM33" s="76">
        <f t="shared" si="257"/>
        <v>35485.884086552338</v>
      </c>
      <c r="DN33" s="76">
        <f t="shared" si="257"/>
        <v>35663.313506985105</v>
      </c>
      <c r="DO33" s="76">
        <f t="shared" si="257"/>
        <v>35841.630074520021</v>
      </c>
      <c r="DP33" s="76">
        <f t="shared" si="257"/>
        <v>36020.838224892614</v>
      </c>
      <c r="DQ33" s="76">
        <f t="shared" si="257"/>
        <v>36200.942416017075</v>
      </c>
      <c r="DR33" s="76">
        <f t="shared" si="257"/>
        <v>36381.947128097141</v>
      </c>
      <c r="DS33" s="76">
        <f t="shared" si="257"/>
        <v>36563.856863737623</v>
      </c>
    </row>
    <row r="34" spans="1:123" x14ac:dyDescent="0.35">
      <c r="A34" s="49"/>
      <c r="B34" s="49" t="s">
        <v>123</v>
      </c>
      <c r="C34" s="76">
        <f t="shared" ref="C34:AH34" si="258" xml:space="preserve"> SUM(_xlfn.SINGLE(Mini_Customers_Usage__kWh), _xlfn.SINGLE(Regular_Customers_Usage__kWh), _xlfn.SINGLE(Premium_Customers_Usage__kWh))</f>
        <v>0</v>
      </c>
      <c r="D34" s="76">
        <f t="shared" si="258"/>
        <v>0</v>
      </c>
      <c r="E34" s="76">
        <f t="shared" si="258"/>
        <v>0</v>
      </c>
      <c r="F34" s="76">
        <f t="shared" si="258"/>
        <v>0</v>
      </c>
      <c r="G34" s="76">
        <f t="shared" si="258"/>
        <v>0</v>
      </c>
      <c r="H34" s="76">
        <f t="shared" si="258"/>
        <v>0</v>
      </c>
      <c r="I34" s="76">
        <f t="shared" si="258"/>
        <v>0</v>
      </c>
      <c r="J34" s="76">
        <f t="shared" si="258"/>
        <v>0</v>
      </c>
      <c r="K34" s="76">
        <f t="shared" si="258"/>
        <v>0</v>
      </c>
      <c r="L34" s="76">
        <f t="shared" si="258"/>
        <v>0</v>
      </c>
      <c r="M34" s="76">
        <f t="shared" si="258"/>
        <v>0</v>
      </c>
      <c r="N34" s="76">
        <f t="shared" si="258"/>
        <v>0</v>
      </c>
      <c r="O34" s="76">
        <f t="shared" si="258"/>
        <v>0</v>
      </c>
      <c r="P34" s="76">
        <f t="shared" si="258"/>
        <v>31375</v>
      </c>
      <c r="Q34" s="76">
        <f t="shared" si="258"/>
        <v>31980</v>
      </c>
      <c r="R34" s="76">
        <f t="shared" si="258"/>
        <v>32599.625</v>
      </c>
      <c r="S34" s="76">
        <f t="shared" si="258"/>
        <v>33234.275250000006</v>
      </c>
      <c r="T34" s="76">
        <f t="shared" si="258"/>
        <v>33884.362557500004</v>
      </c>
      <c r="U34" s="76">
        <f t="shared" si="258"/>
        <v>34550.310628424995</v>
      </c>
      <c r="V34" s="76">
        <f t="shared" si="258"/>
        <v>35232.555418193755</v>
      </c>
      <c r="W34" s="76">
        <f t="shared" si="258"/>
        <v>35931.545493234204</v>
      </c>
      <c r="X34" s="76">
        <f t="shared" si="258"/>
        <v>36647.742403257689</v>
      </c>
      <c r="Y34" s="76">
        <f t="shared" si="258"/>
        <v>37381.621064613144</v>
      </c>
      <c r="Z34" s="76">
        <f t="shared" si="258"/>
        <v>38133.67015505243</v>
      </c>
      <c r="AA34" s="76">
        <f t="shared" si="258"/>
        <v>38904.392520247507</v>
      </c>
      <c r="AB34" s="76">
        <f t="shared" si="258"/>
        <v>39694.305592410616</v>
      </c>
      <c r="AC34" s="76">
        <f t="shared" si="258"/>
        <v>40503.941821379056</v>
      </c>
      <c r="AD34" s="76">
        <f t="shared" si="258"/>
        <v>41333.849118536906</v>
      </c>
      <c r="AE34" s="76">
        <f t="shared" si="258"/>
        <v>42184.591313957193</v>
      </c>
      <c r="AF34" s="76">
        <f t="shared" si="258"/>
        <v>43056.748627159752</v>
      </c>
      <c r="AG34" s="76">
        <f t="shared" si="258"/>
        <v>43950.918151891237</v>
      </c>
      <c r="AH34" s="76">
        <f t="shared" si="258"/>
        <v>44867.714355346761</v>
      </c>
      <c r="AI34" s="76">
        <f t="shared" ref="AI34:BN34" si="259" xml:space="preserve"> SUM(_xlfn.SINGLE(Mini_Customers_Usage__kWh), _xlfn.SINGLE(Regular_Customers_Usage__kWh), _xlfn.SINGLE(Premium_Customers_Usage__kWh))</f>
        <v>45807.769592264311</v>
      </c>
      <c r="AJ34" s="76">
        <f t="shared" si="259"/>
        <v>46771.734634336739</v>
      </c>
      <c r="AK34" s="76">
        <f t="shared" si="259"/>
        <v>47760.279215398834</v>
      </c>
      <c r="AL34" s="76">
        <f t="shared" si="259"/>
        <v>48774.092592861285</v>
      </c>
      <c r="AM34" s="76">
        <f t="shared" si="259"/>
        <v>49813.884125876713</v>
      </c>
      <c r="AN34" s="76">
        <f t="shared" si="259"/>
        <v>50880.383870738413</v>
      </c>
      <c r="AO34" s="76">
        <f t="shared" si="259"/>
        <v>51974.343194026384</v>
      </c>
      <c r="AP34" s="76">
        <f t="shared" si="259"/>
        <v>53096.535404031616</v>
      </c>
      <c r="AQ34" s="76">
        <f t="shared" si="259"/>
        <v>54247.756401004721</v>
      </c>
      <c r="AR34" s="76">
        <f t="shared" si="259"/>
        <v>55428.825346791986</v>
      </c>
      <c r="AS34" s="76">
        <f t="shared" si="259"/>
        <v>56640.585354437964</v>
      </c>
      <c r="AT34" s="76">
        <f t="shared" si="259"/>
        <v>57883.904198352262</v>
      </c>
      <c r="AU34" s="76">
        <f t="shared" si="259"/>
        <v>59159.675045654614</v>
      </c>
      <c r="AV34" s="76">
        <f t="shared" si="259"/>
        <v>60468.817209332148</v>
      </c>
      <c r="AW34" s="76">
        <f t="shared" si="259"/>
        <v>61812.276923860525</v>
      </c>
      <c r="AX34" s="76">
        <f t="shared" si="259"/>
        <v>63191.028143961012</v>
      </c>
      <c r="AY34" s="76">
        <f t="shared" si="259"/>
        <v>64606.073367185214</v>
      </c>
      <c r="AZ34" s="76">
        <f t="shared" si="259"/>
        <v>66058.444481040002</v>
      </c>
      <c r="BA34" s="76">
        <f t="shared" si="259"/>
        <v>67549.203635386511</v>
      </c>
      <c r="BB34" s="76">
        <f t="shared" si="259"/>
        <v>69079.444140869222</v>
      </c>
      <c r="BC34" s="76">
        <f t="shared" si="259"/>
        <v>70650.291394153406</v>
      </c>
      <c r="BD34" s="76">
        <f t="shared" si="259"/>
        <v>72262.903830772921</v>
      </c>
      <c r="BE34" s="76">
        <f t="shared" si="259"/>
        <v>73918.473906414147</v>
      </c>
      <c r="BF34" s="76">
        <f t="shared" si="259"/>
        <v>75618.229107486433</v>
      </c>
      <c r="BG34" s="76">
        <f t="shared" si="259"/>
        <v>77363.432991855458</v>
      </c>
      <c r="BH34" s="76">
        <f t="shared" si="259"/>
        <v>79155.386260641244</v>
      </c>
      <c r="BI34" s="76">
        <f t="shared" si="259"/>
        <v>80995.427862010692</v>
      </c>
      <c r="BJ34" s="76">
        <f t="shared" si="259"/>
        <v>82884.936127921057</v>
      </c>
      <c r="BK34" s="76">
        <f t="shared" si="259"/>
        <v>84825.329944800877</v>
      </c>
      <c r="BL34" s="76">
        <f t="shared" si="259"/>
        <v>86818.069959183005</v>
      </c>
      <c r="BM34" s="76">
        <f t="shared" si="259"/>
        <v>88864.659819335735</v>
      </c>
      <c r="BN34" s="76">
        <f t="shared" si="259"/>
        <v>90966.647453969184</v>
      </c>
      <c r="BO34" s="76">
        <f t="shared" ref="BO34:CT34" si="260" xml:space="preserve"> SUM(_xlfn.SINGLE(Mini_Customers_Usage__kWh), _xlfn.SINGLE(Regular_Customers_Usage__kWh), _xlfn.SINGLE(Premium_Customers_Usage__kWh))</f>
        <v>93125.626389125769</v>
      </c>
      <c r="BP34" s="76">
        <f t="shared" si="260"/>
        <v>95343.237104397704</v>
      </c>
      <c r="BQ34" s="76">
        <f t="shared" si="260"/>
        <v>97621.168429647922</v>
      </c>
      <c r="BR34" s="76">
        <f t="shared" si="260"/>
        <v>99961.15898344676</v>
      </c>
      <c r="BS34" s="76">
        <f t="shared" si="260"/>
        <v>102364.9986544719</v>
      </c>
      <c r="BT34" s="76">
        <f t="shared" si="260"/>
        <v>104834.5301271583</v>
      </c>
      <c r="BU34" s="76">
        <f t="shared" si="260"/>
        <v>107371.65045292152</v>
      </c>
      <c r="BV34" s="76">
        <f t="shared" si="260"/>
        <v>109978.312668318</v>
      </c>
      <c r="BW34" s="76">
        <f t="shared" si="260"/>
        <v>112656.52746154825</v>
      </c>
      <c r="BX34" s="76">
        <f t="shared" si="260"/>
        <v>113219.81009885599</v>
      </c>
      <c r="BY34" s="76">
        <f t="shared" si="260"/>
        <v>113785.90914935023</v>
      </c>
      <c r="BZ34" s="76">
        <f t="shared" si="260"/>
        <v>114354.83869509699</v>
      </c>
      <c r="CA34" s="76">
        <f t="shared" si="260"/>
        <v>114926.61288857242</v>
      </c>
      <c r="CB34" s="76">
        <f t="shared" si="260"/>
        <v>115501.24595301528</v>
      </c>
      <c r="CC34" s="76">
        <f t="shared" si="260"/>
        <v>116078.75218278034</v>
      </c>
      <c r="CD34" s="76">
        <f t="shared" si="260"/>
        <v>116659.14594369422</v>
      </c>
      <c r="CE34" s="76">
        <f t="shared" si="260"/>
        <v>117242.44167341269</v>
      </c>
      <c r="CF34" s="76">
        <f t="shared" si="260"/>
        <v>117828.65388177976</v>
      </c>
      <c r="CG34" s="76">
        <f t="shared" si="260"/>
        <v>118417.79715118863</v>
      </c>
      <c r="CH34" s="76">
        <f t="shared" si="260"/>
        <v>119009.88613694455</v>
      </c>
      <c r="CI34" s="76">
        <f t="shared" si="260"/>
        <v>119604.93556762923</v>
      </c>
      <c r="CJ34" s="76">
        <f t="shared" si="260"/>
        <v>120202.96024546737</v>
      </c>
      <c r="CK34" s="76">
        <f t="shared" si="260"/>
        <v>120803.97504669469</v>
      </c>
      <c r="CL34" s="76">
        <f t="shared" si="260"/>
        <v>121407.99492192813</v>
      </c>
      <c r="CM34" s="76">
        <f t="shared" si="260"/>
        <v>122015.03489653775</v>
      </c>
      <c r="CN34" s="76">
        <f t="shared" si="260"/>
        <v>122625.11007102043</v>
      </c>
      <c r="CO34" s="76">
        <f t="shared" si="260"/>
        <v>123238.2356213755</v>
      </c>
      <c r="CP34" s="76">
        <f t="shared" si="260"/>
        <v>123854.42679948237</v>
      </c>
      <c r="CQ34" s="76">
        <f t="shared" si="260"/>
        <v>124473.69893347977</v>
      </c>
      <c r="CR34" s="76">
        <f t="shared" si="260"/>
        <v>125096.06742814714</v>
      </c>
      <c r="CS34" s="76">
        <f t="shared" si="260"/>
        <v>125721.54776528786</v>
      </c>
      <c r="CT34" s="76">
        <f t="shared" si="260"/>
        <v>126350.15550411429</v>
      </c>
      <c r="CU34" s="76">
        <f t="shared" ref="CU34:DS34" si="261" xml:space="preserve"> SUM(_xlfn.SINGLE(Mini_Customers_Usage__kWh), _xlfn.SINGLE(Regular_Customers_Usage__kWh), _xlfn.SINGLE(Premium_Customers_Usage__kWh))</f>
        <v>126981.90628163486</v>
      </c>
      <c r="CV34" s="76">
        <f t="shared" si="261"/>
        <v>127616.81581304301</v>
      </c>
      <c r="CW34" s="76">
        <f t="shared" si="261"/>
        <v>128254.89989210819</v>
      </c>
      <c r="CX34" s="76">
        <f t="shared" si="261"/>
        <v>128896.1743915687</v>
      </c>
      <c r="CY34" s="76">
        <f t="shared" si="261"/>
        <v>129540.65526352654</v>
      </c>
      <c r="CZ34" s="76">
        <f t="shared" si="261"/>
        <v>130188.35853984414</v>
      </c>
      <c r="DA34" s="76">
        <f t="shared" si="261"/>
        <v>130839.30033254334</v>
      </c>
      <c r="DB34" s="76">
        <f t="shared" si="261"/>
        <v>131493.49683420605</v>
      </c>
      <c r="DC34" s="76">
        <f t="shared" si="261"/>
        <v>132150.96431837705</v>
      </c>
      <c r="DD34" s="76">
        <f t="shared" si="261"/>
        <v>132811.71913996892</v>
      </c>
      <c r="DE34" s="76">
        <f t="shared" si="261"/>
        <v>133475.77773566873</v>
      </c>
      <c r="DF34" s="76">
        <f t="shared" si="261"/>
        <v>134143.15662434709</v>
      </c>
      <c r="DG34" s="76">
        <f t="shared" si="261"/>
        <v>134813.87240746876</v>
      </c>
      <c r="DH34" s="76">
        <f t="shared" si="261"/>
        <v>135487.94176950608</v>
      </c>
      <c r="DI34" s="76">
        <f t="shared" si="261"/>
        <v>136165.38147835361</v>
      </c>
      <c r="DJ34" s="76">
        <f t="shared" si="261"/>
        <v>136846.20838574535</v>
      </c>
      <c r="DK34" s="76">
        <f t="shared" si="261"/>
        <v>137530.43942767405</v>
      </c>
      <c r="DL34" s="76">
        <f t="shared" si="261"/>
        <v>138218.09162481243</v>
      </c>
      <c r="DM34" s="76">
        <f t="shared" si="261"/>
        <v>138909.18208293646</v>
      </c>
      <c r="DN34" s="76">
        <f t="shared" si="261"/>
        <v>139603.72799335112</v>
      </c>
      <c r="DO34" s="76">
        <f t="shared" si="261"/>
        <v>140301.74663331787</v>
      </c>
      <c r="DP34" s="76">
        <f t="shared" si="261"/>
        <v>141003.2553664844</v>
      </c>
      <c r="DQ34" s="76">
        <f t="shared" si="261"/>
        <v>141708.27164331684</v>
      </c>
      <c r="DR34" s="76">
        <f t="shared" si="261"/>
        <v>142416.81300153336</v>
      </c>
      <c r="DS34" s="76">
        <f t="shared" si="261"/>
        <v>143128.89706654102</v>
      </c>
    </row>
    <row r="35" spans="1:123" x14ac:dyDescent="0.35">
      <c r="A35" s="49"/>
      <c r="B35" s="49" t="s">
        <v>131</v>
      </c>
      <c r="C35" s="48">
        <f t="shared" ref="C35:AH35" si="262" xml:space="preserve"> _xlfn.SINGLE(total_kWh)*-_xlfn.SINGLE(cost_kWh)</f>
        <v>0</v>
      </c>
      <c r="D35" s="48">
        <f t="shared" si="262"/>
        <v>0</v>
      </c>
      <c r="E35" s="48">
        <f t="shared" si="262"/>
        <v>0</v>
      </c>
      <c r="F35" s="48">
        <f t="shared" si="262"/>
        <v>0</v>
      </c>
      <c r="G35" s="48">
        <f t="shared" si="262"/>
        <v>0</v>
      </c>
      <c r="H35" s="48">
        <f t="shared" si="262"/>
        <v>0</v>
      </c>
      <c r="I35" s="48">
        <f t="shared" si="262"/>
        <v>0</v>
      </c>
      <c r="J35" s="48">
        <f t="shared" si="262"/>
        <v>0</v>
      </c>
      <c r="K35" s="48">
        <f t="shared" si="262"/>
        <v>0</v>
      </c>
      <c r="L35" s="48">
        <f t="shared" si="262"/>
        <v>0</v>
      </c>
      <c r="M35" s="48">
        <f t="shared" si="262"/>
        <v>0</v>
      </c>
      <c r="N35" s="48">
        <f t="shared" si="262"/>
        <v>0</v>
      </c>
      <c r="O35" s="48">
        <f t="shared" si="262"/>
        <v>0</v>
      </c>
      <c r="P35" s="48">
        <f t="shared" si="262"/>
        <v>-4706.25</v>
      </c>
      <c r="Q35" s="48">
        <f t="shared" si="262"/>
        <v>-4797</v>
      </c>
      <c r="R35" s="48">
        <f t="shared" si="262"/>
        <v>-4889.9437499999995</v>
      </c>
      <c r="S35" s="48">
        <f t="shared" si="262"/>
        <v>-4985.1412875000005</v>
      </c>
      <c r="T35" s="48">
        <f t="shared" si="262"/>
        <v>-5082.6543836250003</v>
      </c>
      <c r="U35" s="48">
        <f t="shared" si="262"/>
        <v>-5182.5465942637493</v>
      </c>
      <c r="V35" s="48">
        <f t="shared" si="262"/>
        <v>-5284.8833127290627</v>
      </c>
      <c r="W35" s="48">
        <f t="shared" si="262"/>
        <v>-5389.7318239851302</v>
      </c>
      <c r="X35" s="48">
        <f t="shared" si="262"/>
        <v>-5497.1613604886534</v>
      </c>
      <c r="Y35" s="48">
        <f t="shared" si="262"/>
        <v>-5607.2431596919714</v>
      </c>
      <c r="Z35" s="48">
        <f t="shared" si="262"/>
        <v>-5720.0505232578644</v>
      </c>
      <c r="AA35" s="48">
        <f t="shared" si="262"/>
        <v>-5835.6588780371258</v>
      </c>
      <c r="AB35" s="48">
        <f t="shared" si="262"/>
        <v>-6132.7702140274405</v>
      </c>
      <c r="AC35" s="48">
        <f t="shared" si="262"/>
        <v>-6257.859011403064</v>
      </c>
      <c r="AD35" s="48">
        <f t="shared" si="262"/>
        <v>-6386.0796888139521</v>
      </c>
      <c r="AE35" s="48">
        <f t="shared" si="262"/>
        <v>-6517.519358006386</v>
      </c>
      <c r="AF35" s="48">
        <f t="shared" si="262"/>
        <v>-6652.2676628961817</v>
      </c>
      <c r="AG35" s="48">
        <f t="shared" si="262"/>
        <v>-6790.4168544671957</v>
      </c>
      <c r="AH35" s="48">
        <f t="shared" si="262"/>
        <v>-6932.0618679010749</v>
      </c>
      <c r="AI35" s="48">
        <f t="shared" ref="AI35:BN35" si="263" xml:space="preserve"> _xlfn.SINGLE(total_kWh)*-_xlfn.SINGLE(cost_kWh)</f>
        <v>-7077.3004020048356</v>
      </c>
      <c r="AJ35" s="48">
        <f t="shared" si="263"/>
        <v>-7226.2330010050264</v>
      </c>
      <c r="AK35" s="48">
        <f t="shared" si="263"/>
        <v>-7378.9631387791196</v>
      </c>
      <c r="AL35" s="48">
        <f t="shared" si="263"/>
        <v>-7535.597305597068</v>
      </c>
      <c r="AM35" s="48">
        <f t="shared" si="263"/>
        <v>-7696.2450974479525</v>
      </c>
      <c r="AN35" s="48">
        <f t="shared" si="263"/>
        <v>-8096.8498872699574</v>
      </c>
      <c r="AO35" s="48">
        <f t="shared" si="263"/>
        <v>-8270.9371041813883</v>
      </c>
      <c r="AP35" s="48">
        <f t="shared" si="263"/>
        <v>-8449.5171615205709</v>
      </c>
      <c r="AQ35" s="48">
        <f t="shared" si="263"/>
        <v>-8632.7167148738863</v>
      </c>
      <c r="AR35" s="48">
        <f t="shared" si="263"/>
        <v>-8820.6661215617423</v>
      </c>
      <c r="AS35" s="48">
        <f t="shared" si="263"/>
        <v>-9013.4995503784849</v>
      </c>
      <c r="AT35" s="48">
        <f t="shared" si="263"/>
        <v>-9211.3550946047872</v>
      </c>
      <c r="AU35" s="48">
        <f t="shared" si="263"/>
        <v>-9414.3748883902463</v>
      </c>
      <c r="AV35" s="48">
        <f t="shared" si="263"/>
        <v>-9622.7052266070714</v>
      </c>
      <c r="AW35" s="48">
        <f t="shared" si="263"/>
        <v>-9836.4966882785448</v>
      </c>
      <c r="AX35" s="48">
        <f t="shared" si="263"/>
        <v>-10055.904263689235</v>
      </c>
      <c r="AY35" s="48">
        <f t="shared" si="263"/>
        <v>-10281.087485287018</v>
      </c>
      <c r="AZ35" s="48">
        <f t="shared" si="263"/>
        <v>-10827.57687936501</v>
      </c>
      <c r="BA35" s="48">
        <f t="shared" si="263"/>
        <v>-11071.925796132749</v>
      </c>
      <c r="BB35" s="48">
        <f t="shared" si="263"/>
        <v>-11322.74606365794</v>
      </c>
      <c r="BC35" s="48">
        <f t="shared" si="263"/>
        <v>-11580.222144638861</v>
      </c>
      <c r="BD35" s="48">
        <f t="shared" si="263"/>
        <v>-11844.54391714335</v>
      </c>
      <c r="BE35" s="48">
        <f t="shared" si="263"/>
        <v>-12115.906835450132</v>
      </c>
      <c r="BF35" s="48">
        <f t="shared" si="263"/>
        <v>-12394.512095690448</v>
      </c>
      <c r="BG35" s="48">
        <f t="shared" si="263"/>
        <v>-12680.566806433686</v>
      </c>
      <c r="BH35" s="48">
        <f t="shared" si="263"/>
        <v>-12974.284164364759</v>
      </c>
      <c r="BI35" s="48">
        <f t="shared" si="263"/>
        <v>-13275.883635205704</v>
      </c>
      <c r="BJ35" s="48">
        <f t="shared" si="263"/>
        <v>-13585.591140038219</v>
      </c>
      <c r="BK35" s="48">
        <f t="shared" si="263"/>
        <v>-13903.639247188865</v>
      </c>
      <c r="BL35" s="48">
        <f t="shared" si="263"/>
        <v>-14657.175390938521</v>
      </c>
      <c r="BM35" s="48">
        <f t="shared" si="263"/>
        <v>-15002.693628647306</v>
      </c>
      <c r="BN35" s="48">
        <f t="shared" si="263"/>
        <v>-15357.564468840957</v>
      </c>
      <c r="BO35" s="48">
        <f t="shared" ref="BO35:CT35" si="264" xml:space="preserve"> _xlfn.SINGLE(total_kWh)*-_xlfn.SINGLE(cost_kWh)</f>
        <v>-15722.05694065943</v>
      </c>
      <c r="BP35" s="48">
        <f t="shared" si="264"/>
        <v>-16096.448000237775</v>
      </c>
      <c r="BQ35" s="48">
        <f t="shared" si="264"/>
        <v>-16481.022766509388</v>
      </c>
      <c r="BR35" s="48">
        <f t="shared" si="264"/>
        <v>-16876.074764051995</v>
      </c>
      <c r="BS35" s="48">
        <f t="shared" si="264"/>
        <v>-17281.906173186941</v>
      </c>
      <c r="BT35" s="48">
        <f t="shared" si="264"/>
        <v>-17698.828087549064</v>
      </c>
      <c r="BU35" s="48">
        <f t="shared" si="264"/>
        <v>-18127.160779350546</v>
      </c>
      <c r="BV35" s="48">
        <f t="shared" si="264"/>
        <v>-18567.233972568978</v>
      </c>
      <c r="BW35" s="48">
        <f t="shared" si="264"/>
        <v>-19019.387124296922</v>
      </c>
      <c r="BX35" s="48">
        <f t="shared" si="264"/>
        <v>-19687.918581715956</v>
      </c>
      <c r="BY35" s="48">
        <f t="shared" si="264"/>
        <v>-19786.358174624529</v>
      </c>
      <c r="BZ35" s="48">
        <f t="shared" si="264"/>
        <v>-19885.289965497654</v>
      </c>
      <c r="CA35" s="48">
        <f t="shared" si="264"/>
        <v>-19984.716415325132</v>
      </c>
      <c r="CB35" s="48">
        <f t="shared" si="264"/>
        <v>-20084.639997401759</v>
      </c>
      <c r="CC35" s="48">
        <f t="shared" si="264"/>
        <v>-20185.063197388765</v>
      </c>
      <c r="CD35" s="48">
        <f t="shared" si="264"/>
        <v>-20285.988513375705</v>
      </c>
      <c r="CE35" s="48">
        <f t="shared" si="264"/>
        <v>-20387.418455942581</v>
      </c>
      <c r="CF35" s="48">
        <f t="shared" si="264"/>
        <v>-20489.355548222295</v>
      </c>
      <c r="CG35" s="48">
        <f t="shared" si="264"/>
        <v>-20591.802325963403</v>
      </c>
      <c r="CH35" s="48">
        <f t="shared" si="264"/>
        <v>-20694.761337593216</v>
      </c>
      <c r="CI35" s="48">
        <f t="shared" si="264"/>
        <v>-20798.235144281174</v>
      </c>
      <c r="CJ35" s="48">
        <f t="shared" si="264"/>
        <v>-21529.293109602659</v>
      </c>
      <c r="CK35" s="48">
        <f t="shared" si="264"/>
        <v>-21636.939575150671</v>
      </c>
      <c r="CL35" s="48">
        <f t="shared" si="264"/>
        <v>-21745.124273026417</v>
      </c>
      <c r="CM35" s="48">
        <f t="shared" si="264"/>
        <v>-21853.849894391544</v>
      </c>
      <c r="CN35" s="48">
        <f t="shared" si="264"/>
        <v>-21963.119143863503</v>
      </c>
      <c r="CO35" s="48">
        <f t="shared" si="264"/>
        <v>-22072.934739582812</v>
      </c>
      <c r="CP35" s="48">
        <f t="shared" si="264"/>
        <v>-22183.299413280725</v>
      </c>
      <c r="CQ35" s="48">
        <f t="shared" si="264"/>
        <v>-22294.215910347128</v>
      </c>
      <c r="CR35" s="48">
        <f t="shared" si="264"/>
        <v>-22405.686989898859</v>
      </c>
      <c r="CS35" s="48">
        <f t="shared" si="264"/>
        <v>-22517.715424848349</v>
      </c>
      <c r="CT35" s="48">
        <f t="shared" si="264"/>
        <v>-22630.304001972589</v>
      </c>
      <c r="CU35" s="48">
        <f t="shared" ref="CU35:DS35" si="265" xml:space="preserve"> _xlfn.SINGLE(total_kWh)*-_xlfn.SINGLE(cost_kWh)</f>
        <v>-22743.455521982451</v>
      </c>
      <c r="CV35" s="48">
        <f t="shared" si="265"/>
        <v>-23542.887983580131</v>
      </c>
      <c r="CW35" s="48">
        <f t="shared" si="265"/>
        <v>-23660.602423498025</v>
      </c>
      <c r="CX35" s="48">
        <f t="shared" si="265"/>
        <v>-23778.90543561551</v>
      </c>
      <c r="CY35" s="48">
        <f t="shared" si="265"/>
        <v>-23897.799962793586</v>
      </c>
      <c r="CZ35" s="48">
        <f t="shared" si="265"/>
        <v>-24017.288962607548</v>
      </c>
      <c r="DA35" s="48">
        <f t="shared" si="265"/>
        <v>-24137.375407420583</v>
      </c>
      <c r="DB35" s="48">
        <f t="shared" si="265"/>
        <v>-24258.062284457683</v>
      </c>
      <c r="DC35" s="48">
        <f t="shared" si="265"/>
        <v>-24379.352595879969</v>
      </c>
      <c r="DD35" s="48">
        <f t="shared" si="265"/>
        <v>-24501.249358859364</v>
      </c>
      <c r="DE35" s="48">
        <f t="shared" si="265"/>
        <v>-24623.755605653656</v>
      </c>
      <c r="DF35" s="48">
        <f t="shared" si="265"/>
        <v>-24746.874383681927</v>
      </c>
      <c r="DG35" s="48">
        <f t="shared" si="265"/>
        <v>-24870.608755600322</v>
      </c>
      <c r="DH35" s="48">
        <f t="shared" si="265"/>
        <v>-25744.810653359669</v>
      </c>
      <c r="DI35" s="48">
        <f t="shared" si="265"/>
        <v>-25873.534706626466</v>
      </c>
      <c r="DJ35" s="48">
        <f t="shared" si="265"/>
        <v>-26002.902380159594</v>
      </c>
      <c r="DK35" s="48">
        <f t="shared" si="265"/>
        <v>-26132.916892060384</v>
      </c>
      <c r="DL35" s="48">
        <f t="shared" si="265"/>
        <v>-26263.581476520689</v>
      </c>
      <c r="DM35" s="48">
        <f t="shared" si="265"/>
        <v>-26394.899383903288</v>
      </c>
      <c r="DN35" s="48">
        <f t="shared" si="265"/>
        <v>-26526.873880822797</v>
      </c>
      <c r="DO35" s="48">
        <f t="shared" si="265"/>
        <v>-26659.508250226914</v>
      </c>
      <c r="DP35" s="48">
        <f t="shared" si="265"/>
        <v>-26792.805791478037</v>
      </c>
      <c r="DQ35" s="48">
        <f t="shared" si="265"/>
        <v>-26926.769820435427</v>
      </c>
      <c r="DR35" s="48">
        <f t="shared" si="265"/>
        <v>-27061.403669537594</v>
      </c>
      <c r="DS35" s="48">
        <f t="shared" si="265"/>
        <v>-27196.710687885279</v>
      </c>
    </row>
    <row r="36" spans="1:123" x14ac:dyDescent="0.35">
      <c r="A36" s="49"/>
      <c r="B36" s="49" t="s">
        <v>134</v>
      </c>
      <c r="C36" s="48">
        <f t="shared" ref="C36:AH36" si="266" xml:space="preserve"> _xlfn.SINGLE(total_kWh)*_xlfn.SINGLE(price_kWh)</f>
        <v>0</v>
      </c>
      <c r="D36" s="48">
        <f t="shared" si="266"/>
        <v>0</v>
      </c>
      <c r="E36" s="48">
        <f t="shared" si="266"/>
        <v>0</v>
      </c>
      <c r="F36" s="48">
        <f t="shared" si="266"/>
        <v>0</v>
      </c>
      <c r="G36" s="48">
        <f t="shared" si="266"/>
        <v>0</v>
      </c>
      <c r="H36" s="48">
        <f t="shared" si="266"/>
        <v>0</v>
      </c>
      <c r="I36" s="48">
        <f t="shared" si="266"/>
        <v>0</v>
      </c>
      <c r="J36" s="48">
        <f t="shared" si="266"/>
        <v>0</v>
      </c>
      <c r="K36" s="48">
        <f t="shared" si="266"/>
        <v>0</v>
      </c>
      <c r="L36" s="48">
        <f t="shared" si="266"/>
        <v>0</v>
      </c>
      <c r="M36" s="48">
        <f t="shared" si="266"/>
        <v>0</v>
      </c>
      <c r="N36" s="48">
        <f t="shared" si="266"/>
        <v>0</v>
      </c>
      <c r="O36" s="48">
        <f t="shared" si="266"/>
        <v>0</v>
      </c>
      <c r="P36" s="48">
        <f t="shared" si="266"/>
        <v>10981.25</v>
      </c>
      <c r="Q36" s="48">
        <f t="shared" si="266"/>
        <v>11193</v>
      </c>
      <c r="R36" s="48">
        <f t="shared" si="266"/>
        <v>11409.86875</v>
      </c>
      <c r="S36" s="48">
        <f t="shared" si="266"/>
        <v>11631.996337500001</v>
      </c>
      <c r="T36" s="48">
        <f t="shared" si="266"/>
        <v>11859.526895125</v>
      </c>
      <c r="U36" s="48">
        <f t="shared" si="266"/>
        <v>12092.608719948748</v>
      </c>
      <c r="V36" s="48">
        <f t="shared" si="266"/>
        <v>12331.394396367814</v>
      </c>
      <c r="W36" s="48">
        <f t="shared" si="266"/>
        <v>12576.04092263197</v>
      </c>
      <c r="X36" s="48">
        <f t="shared" si="266"/>
        <v>12826.709841140191</v>
      </c>
      <c r="Y36" s="48">
        <f t="shared" si="266"/>
        <v>13083.5673726146</v>
      </c>
      <c r="Z36" s="48">
        <f t="shared" si="266"/>
        <v>13346.78455426835</v>
      </c>
      <c r="AA36" s="48">
        <f t="shared" si="266"/>
        <v>13616.537382086626</v>
      </c>
      <c r="AB36" s="48">
        <f t="shared" si="266"/>
        <v>14309.797166064027</v>
      </c>
      <c r="AC36" s="48">
        <f t="shared" si="266"/>
        <v>14601.67102660715</v>
      </c>
      <c r="AD36" s="48">
        <f t="shared" si="266"/>
        <v>14900.852607232555</v>
      </c>
      <c r="AE36" s="48">
        <f t="shared" si="266"/>
        <v>15207.545168681567</v>
      </c>
      <c r="AF36" s="48">
        <f t="shared" si="266"/>
        <v>15521.957880091089</v>
      </c>
      <c r="AG36" s="48">
        <f t="shared" si="266"/>
        <v>15844.30599375679</v>
      </c>
      <c r="AH36" s="48">
        <f t="shared" si="266"/>
        <v>16174.811025102506</v>
      </c>
      <c r="AI36" s="48">
        <f t="shared" ref="AI36:BN36" si="267" xml:space="preserve"> _xlfn.SINGLE(total_kWh)*_xlfn.SINGLE(price_kWh)</f>
        <v>16513.700938011283</v>
      </c>
      <c r="AJ36" s="48">
        <f t="shared" si="267"/>
        <v>16861.210335678395</v>
      </c>
      <c r="AK36" s="48">
        <f t="shared" si="267"/>
        <v>17217.58065715128</v>
      </c>
      <c r="AL36" s="48">
        <f t="shared" si="267"/>
        <v>17583.060379726492</v>
      </c>
      <c r="AM36" s="48">
        <f t="shared" si="267"/>
        <v>17957.905227378553</v>
      </c>
      <c r="AN36" s="48">
        <f t="shared" si="267"/>
        <v>18892.649736963231</v>
      </c>
      <c r="AO36" s="48">
        <f t="shared" si="267"/>
        <v>19298.853243089903</v>
      </c>
      <c r="AP36" s="48">
        <f t="shared" si="267"/>
        <v>19715.540043547997</v>
      </c>
      <c r="AQ36" s="48">
        <f t="shared" si="267"/>
        <v>20143.005668039066</v>
      </c>
      <c r="AR36" s="48">
        <f t="shared" si="267"/>
        <v>20581.554283644062</v>
      </c>
      <c r="AS36" s="48">
        <f t="shared" si="267"/>
        <v>21031.498950883131</v>
      </c>
      <c r="AT36" s="48">
        <f t="shared" si="267"/>
        <v>21493.161887411166</v>
      </c>
      <c r="AU36" s="48">
        <f t="shared" si="267"/>
        <v>21966.874739577241</v>
      </c>
      <c r="AV36" s="48">
        <f t="shared" si="267"/>
        <v>22452.978862083164</v>
      </c>
      <c r="AW36" s="48">
        <f t="shared" si="267"/>
        <v>22951.825605983267</v>
      </c>
      <c r="AX36" s="48">
        <f t="shared" si="267"/>
        <v>23463.776615274881</v>
      </c>
      <c r="AY36" s="48">
        <f t="shared" si="267"/>
        <v>23989.204132336374</v>
      </c>
      <c r="AZ36" s="48">
        <f t="shared" si="267"/>
        <v>25264.346051851688</v>
      </c>
      <c r="BA36" s="48">
        <f t="shared" si="267"/>
        <v>25834.49352430975</v>
      </c>
      <c r="BB36" s="48">
        <f t="shared" si="267"/>
        <v>26419.740815201862</v>
      </c>
      <c r="BC36" s="48">
        <f t="shared" si="267"/>
        <v>27020.518337490674</v>
      </c>
      <c r="BD36" s="48">
        <f t="shared" si="267"/>
        <v>27637.26914000115</v>
      </c>
      <c r="BE36" s="48">
        <f t="shared" si="267"/>
        <v>28270.449282716974</v>
      </c>
      <c r="BF36" s="48">
        <f t="shared" si="267"/>
        <v>28920.528223277714</v>
      </c>
      <c r="BG36" s="48">
        <f t="shared" si="267"/>
        <v>29587.989215011934</v>
      </c>
      <c r="BH36" s="48">
        <f t="shared" si="267"/>
        <v>30273.329716851105</v>
      </c>
      <c r="BI36" s="48">
        <f t="shared" si="267"/>
        <v>30977.061815479974</v>
      </c>
      <c r="BJ36" s="48">
        <f t="shared" si="267"/>
        <v>31699.712660089179</v>
      </c>
      <c r="BK36" s="48">
        <f t="shared" si="267"/>
        <v>32441.824910107349</v>
      </c>
      <c r="BL36" s="48">
        <f t="shared" si="267"/>
        <v>34200.075912189881</v>
      </c>
      <c r="BM36" s="48">
        <f t="shared" si="267"/>
        <v>35006.285133510377</v>
      </c>
      <c r="BN36" s="48">
        <f t="shared" si="267"/>
        <v>35834.317093962236</v>
      </c>
      <c r="BO36" s="48">
        <f t="shared" ref="BO36:CT36" si="268" xml:space="preserve"> _xlfn.SINGLE(total_kWh)*_xlfn.SINGLE(price_kWh)</f>
        <v>36684.799528205338</v>
      </c>
      <c r="BP36" s="48">
        <f t="shared" si="268"/>
        <v>37558.378667221477</v>
      </c>
      <c r="BQ36" s="48">
        <f t="shared" si="268"/>
        <v>38455.719788521907</v>
      </c>
      <c r="BR36" s="48">
        <f t="shared" si="268"/>
        <v>39377.507782787987</v>
      </c>
      <c r="BS36" s="48">
        <f t="shared" si="268"/>
        <v>40324.447737436189</v>
      </c>
      <c r="BT36" s="48">
        <f t="shared" si="268"/>
        <v>41297.265537614476</v>
      </c>
      <c r="BU36" s="48">
        <f t="shared" si="268"/>
        <v>42296.708485151277</v>
      </c>
      <c r="BV36" s="48">
        <f t="shared" si="268"/>
        <v>43323.545935994276</v>
      </c>
      <c r="BW36" s="48">
        <f t="shared" si="268"/>
        <v>44378.569956692816</v>
      </c>
      <c r="BX36" s="48">
        <f t="shared" si="268"/>
        <v>45938.476690670563</v>
      </c>
      <c r="BY36" s="48">
        <f t="shared" si="268"/>
        <v>46168.169074123907</v>
      </c>
      <c r="BZ36" s="48">
        <f t="shared" si="268"/>
        <v>46399.009919494521</v>
      </c>
      <c r="CA36" s="48">
        <f t="shared" si="268"/>
        <v>46631.004969091977</v>
      </c>
      <c r="CB36" s="48">
        <f t="shared" si="268"/>
        <v>46864.159993937436</v>
      </c>
      <c r="CC36" s="48">
        <f t="shared" si="268"/>
        <v>47098.480793907118</v>
      </c>
      <c r="CD36" s="48">
        <f t="shared" si="268"/>
        <v>47333.973197876643</v>
      </c>
      <c r="CE36" s="48">
        <f t="shared" si="268"/>
        <v>47570.643063866024</v>
      </c>
      <c r="CF36" s="48">
        <f t="shared" si="268"/>
        <v>47808.496279185354</v>
      </c>
      <c r="CG36" s="48">
        <f t="shared" si="268"/>
        <v>48047.538760581272</v>
      </c>
      <c r="CH36" s="48">
        <f t="shared" si="268"/>
        <v>48287.776454384169</v>
      </c>
      <c r="CI36" s="48">
        <f t="shared" si="268"/>
        <v>48529.215336656074</v>
      </c>
      <c r="CJ36" s="48">
        <f t="shared" si="268"/>
        <v>50235.017255739534</v>
      </c>
      <c r="CK36" s="48">
        <f t="shared" si="268"/>
        <v>50486.192342018221</v>
      </c>
      <c r="CL36" s="48">
        <f t="shared" si="268"/>
        <v>50738.623303728302</v>
      </c>
      <c r="CM36" s="48">
        <f t="shared" si="268"/>
        <v>50992.316420246934</v>
      </c>
      <c r="CN36" s="48">
        <f t="shared" si="268"/>
        <v>51247.278002348168</v>
      </c>
      <c r="CO36" s="48">
        <f t="shared" si="268"/>
        <v>51503.514392359888</v>
      </c>
      <c r="CP36" s="48">
        <f t="shared" si="268"/>
        <v>51761.031964321694</v>
      </c>
      <c r="CQ36" s="48">
        <f t="shared" si="268"/>
        <v>52019.837124143291</v>
      </c>
      <c r="CR36" s="48">
        <f t="shared" si="268"/>
        <v>52279.936309764002</v>
      </c>
      <c r="CS36" s="48">
        <f t="shared" si="268"/>
        <v>52541.335991312808</v>
      </c>
      <c r="CT36" s="48">
        <f t="shared" si="268"/>
        <v>52804.042671269366</v>
      </c>
      <c r="CU36" s="48">
        <f t="shared" ref="CU36:DS36" si="269" xml:space="preserve"> _xlfn.SINGLE(total_kWh)*_xlfn.SINGLE(price_kWh)</f>
        <v>53068.062884625717</v>
      </c>
      <c r="CV36" s="48">
        <f t="shared" si="269"/>
        <v>54933.405295020304</v>
      </c>
      <c r="CW36" s="48">
        <f t="shared" si="269"/>
        <v>55208.07232149539</v>
      </c>
      <c r="CX36" s="48">
        <f t="shared" si="269"/>
        <v>55484.112683102852</v>
      </c>
      <c r="CY36" s="48">
        <f t="shared" si="269"/>
        <v>55761.533246518367</v>
      </c>
      <c r="CZ36" s="48">
        <f t="shared" si="269"/>
        <v>56040.340912750944</v>
      </c>
      <c r="DA36" s="48">
        <f t="shared" si="269"/>
        <v>56320.542617314692</v>
      </c>
      <c r="DB36" s="48">
        <f t="shared" si="269"/>
        <v>56602.145330401261</v>
      </c>
      <c r="DC36" s="48">
        <f t="shared" si="269"/>
        <v>56885.156057053253</v>
      </c>
      <c r="DD36" s="48">
        <f t="shared" si="269"/>
        <v>57169.581837338512</v>
      </c>
      <c r="DE36" s="48">
        <f t="shared" si="269"/>
        <v>57455.429746525195</v>
      </c>
      <c r="DF36" s="48">
        <f t="shared" si="269"/>
        <v>57742.706895257827</v>
      </c>
      <c r="DG36" s="48">
        <f t="shared" si="269"/>
        <v>58031.420429734091</v>
      </c>
      <c r="DH36" s="48">
        <f t="shared" si="269"/>
        <v>60071.224857839217</v>
      </c>
      <c r="DI36" s="48">
        <f t="shared" si="269"/>
        <v>60371.580982128413</v>
      </c>
      <c r="DJ36" s="48">
        <f t="shared" si="269"/>
        <v>60673.438887039047</v>
      </c>
      <c r="DK36" s="48">
        <f t="shared" si="269"/>
        <v>60976.806081474228</v>
      </c>
      <c r="DL36" s="48">
        <f t="shared" si="269"/>
        <v>61281.690111881602</v>
      </c>
      <c r="DM36" s="48">
        <f t="shared" si="269"/>
        <v>61588.098562440995</v>
      </c>
      <c r="DN36" s="48">
        <f t="shared" si="269"/>
        <v>61896.03905525319</v>
      </c>
      <c r="DO36" s="48">
        <f t="shared" si="269"/>
        <v>62205.519250529454</v>
      </c>
      <c r="DP36" s="48">
        <f t="shared" si="269"/>
        <v>62516.546846782076</v>
      </c>
      <c r="DQ36" s="48">
        <f t="shared" si="269"/>
        <v>62829.129581015994</v>
      </c>
      <c r="DR36" s="48">
        <f t="shared" si="269"/>
        <v>63143.275228921048</v>
      </c>
      <c r="DS36" s="48">
        <f t="shared" si="269"/>
        <v>63458.991605065647</v>
      </c>
    </row>
    <row r="37" spans="1:123" x14ac:dyDescent="0.35">
      <c r="A37" s="49"/>
      <c r="B37" s="49"/>
    </row>
    <row r="38" spans="1:123" x14ac:dyDescent="0.35">
      <c r="A38" s="51"/>
      <c r="B38" s="51" t="s">
        <v>136</v>
      </c>
    </row>
    <row r="39" spans="1:123" x14ac:dyDescent="0.35">
      <c r="A39" s="49"/>
      <c r="B39" s="49" t="s">
        <v>124</v>
      </c>
      <c r="C39" s="48" cm="1">
        <f t="array" ref="C39">_xlfn.IFS(_xlfn.SINGLE(Month)&lt;ops_start_mo,0,
_xlfn.SINGLE(Month)&gt;=ops_start_mo,
_xlfn.SINGLE(mini_customer_FCST)*mini_take_rate*mini_sales_per_car*POWER(1+inflation_store,QUOTIENT(_xlfn.SINGLE(Month)-ops_start_mo, 12)))</f>
        <v>0</v>
      </c>
      <c r="D39" s="48" cm="1">
        <f t="array" ref="D39">_xlfn.IFS(_xlfn.SINGLE(Month)&lt;ops_start_mo,0,
_xlfn.SINGLE(Month)&gt;=ops_start_mo,
_xlfn.SINGLE(mini_customer_FCST)*mini_take_rate*mini_sales_per_car*POWER(1+inflation_store,QUOTIENT(_xlfn.SINGLE(Month)-ops_start_mo, 12)))</f>
        <v>0</v>
      </c>
      <c r="E39" s="48" cm="1">
        <f t="array" ref="E39">_xlfn.IFS(_xlfn.SINGLE(Month)&lt;ops_start_mo,0,
_xlfn.SINGLE(Month)&gt;=ops_start_mo,
_xlfn.SINGLE(mini_customer_FCST)*mini_take_rate*mini_sales_per_car*POWER(1+inflation_store,QUOTIENT(_xlfn.SINGLE(Month)-ops_start_mo, 12)))</f>
        <v>0</v>
      </c>
      <c r="F39" s="48" cm="1">
        <f t="array" ref="F39">_xlfn.IFS(_xlfn.SINGLE(Month)&lt;ops_start_mo,0,
_xlfn.SINGLE(Month)&gt;=ops_start_mo,
_xlfn.SINGLE(mini_customer_FCST)*mini_take_rate*mini_sales_per_car*POWER(1+inflation_store,QUOTIENT(_xlfn.SINGLE(Month)-ops_start_mo, 12)))</f>
        <v>0</v>
      </c>
      <c r="G39" s="48" cm="1">
        <f t="array" ref="G39">_xlfn.IFS(_xlfn.SINGLE(Month)&lt;ops_start_mo,0,
_xlfn.SINGLE(Month)&gt;=ops_start_mo,
_xlfn.SINGLE(mini_customer_FCST)*mini_take_rate*mini_sales_per_car*POWER(1+inflation_store,QUOTIENT(_xlfn.SINGLE(Month)-ops_start_mo, 12)))</f>
        <v>0</v>
      </c>
      <c r="H39" s="48" cm="1">
        <f t="array" ref="H39">_xlfn.IFS(_xlfn.SINGLE(Month)&lt;ops_start_mo,0,
_xlfn.SINGLE(Month)&gt;=ops_start_mo,
_xlfn.SINGLE(mini_customer_FCST)*mini_take_rate*mini_sales_per_car*POWER(1+inflation_store,QUOTIENT(_xlfn.SINGLE(Month)-ops_start_mo, 12)))</f>
        <v>0</v>
      </c>
      <c r="I39" s="48" cm="1">
        <f t="array" ref="I39">_xlfn.IFS(_xlfn.SINGLE(Month)&lt;ops_start_mo,0,
_xlfn.SINGLE(Month)&gt;=ops_start_mo,
_xlfn.SINGLE(mini_customer_FCST)*mini_take_rate*mini_sales_per_car*POWER(1+inflation_store,QUOTIENT(_xlfn.SINGLE(Month)-ops_start_mo, 12)))</f>
        <v>0</v>
      </c>
      <c r="J39" s="48" cm="1">
        <f t="array" ref="J39">_xlfn.IFS(_xlfn.SINGLE(Month)&lt;ops_start_mo,0,
_xlfn.SINGLE(Month)&gt;=ops_start_mo,
_xlfn.SINGLE(mini_customer_FCST)*mini_take_rate*mini_sales_per_car*POWER(1+inflation_store,QUOTIENT(_xlfn.SINGLE(Month)-ops_start_mo, 12)))</f>
        <v>0</v>
      </c>
      <c r="K39" s="48" cm="1">
        <f t="array" ref="K39">_xlfn.IFS(_xlfn.SINGLE(Month)&lt;ops_start_mo,0,
_xlfn.SINGLE(Month)&gt;=ops_start_mo,
_xlfn.SINGLE(mini_customer_FCST)*mini_take_rate*mini_sales_per_car*POWER(1+inflation_store,QUOTIENT(_xlfn.SINGLE(Month)-ops_start_mo, 12)))</f>
        <v>0</v>
      </c>
      <c r="L39" s="48" cm="1">
        <f t="array" ref="L39">_xlfn.IFS(_xlfn.SINGLE(Month)&lt;ops_start_mo,0,
_xlfn.SINGLE(Month)&gt;=ops_start_mo,
_xlfn.SINGLE(mini_customer_FCST)*mini_take_rate*mini_sales_per_car*POWER(1+inflation_store,QUOTIENT(_xlfn.SINGLE(Month)-ops_start_mo, 12)))</f>
        <v>0</v>
      </c>
      <c r="M39" s="48" cm="1">
        <f t="array" ref="M39">_xlfn.IFS(_xlfn.SINGLE(Month)&lt;ops_start_mo,0,
_xlfn.SINGLE(Month)&gt;=ops_start_mo,
_xlfn.SINGLE(mini_customer_FCST)*mini_take_rate*mini_sales_per_car*POWER(1+inflation_store,QUOTIENT(_xlfn.SINGLE(Month)-ops_start_mo, 12)))</f>
        <v>0</v>
      </c>
      <c r="N39" s="48" cm="1">
        <f t="array" ref="N39">_xlfn.IFS(_xlfn.SINGLE(Month)&lt;ops_start_mo,0,
_xlfn.SINGLE(Month)&gt;=ops_start_mo,
_xlfn.SINGLE(mini_customer_FCST)*mini_take_rate*mini_sales_per_car*POWER(1+inflation_store,QUOTIENT(_xlfn.SINGLE(Month)-ops_start_mo, 12)))</f>
        <v>0</v>
      </c>
      <c r="O39" s="48" cm="1">
        <f t="array" ref="O39">_xlfn.IFS(_xlfn.SINGLE(Month)&lt;ops_start_mo,0,
_xlfn.SINGLE(Month)&gt;=ops_start_mo,
_xlfn.SINGLE(mini_customer_FCST)*mini_take_rate*mini_sales_per_car*POWER(1+inflation_store,QUOTIENT(_xlfn.SINGLE(Month)-ops_start_mo, 12)))</f>
        <v>0</v>
      </c>
      <c r="P39" s="48" cm="1">
        <f t="array" ref="P39">_xlfn.IFS(_xlfn.SINGLE(Month)&lt;ops_start_mo,0,
_xlfn.SINGLE(Month)&gt;=ops_start_mo,
_xlfn.SINGLE(mini_customer_FCST)*mini_take_rate*mini_sales_per_car*POWER(1+inflation_store,QUOTIENT(_xlfn.SINGLE(Month)-ops_start_mo, 12)))</f>
        <v>75</v>
      </c>
      <c r="Q39" s="48" cm="1">
        <f t="array" ref="Q39">_xlfn.IFS(_xlfn.SINGLE(Month)&lt;ops_start_mo,0,
_xlfn.SINGLE(Month)&gt;=ops_start_mo,
_xlfn.SINGLE(mini_customer_FCST)*mini_take_rate*mini_sales_per_car*POWER(1+inflation_store,QUOTIENT(_xlfn.SINGLE(Month)-ops_start_mo, 12)))</f>
        <v>76.5</v>
      </c>
      <c r="R39" s="48" cm="1">
        <f t="array" ref="R39">_xlfn.IFS(_xlfn.SINGLE(Month)&lt;ops_start_mo,0,
_xlfn.SINGLE(Month)&gt;=ops_start_mo,
_xlfn.SINGLE(mini_customer_FCST)*mini_take_rate*mini_sales_per_car*POWER(1+inflation_store,QUOTIENT(_xlfn.SINGLE(Month)-ops_start_mo, 12)))</f>
        <v>78.029999999999987</v>
      </c>
      <c r="S39" s="48" cm="1">
        <f t="array" ref="S39">_xlfn.IFS(_xlfn.SINGLE(Month)&lt;ops_start_mo,0,
_xlfn.SINGLE(Month)&gt;=ops_start_mo,
_xlfn.SINGLE(mini_customer_FCST)*mini_take_rate*mini_sales_per_car*POWER(1+inflation_store,QUOTIENT(_xlfn.SINGLE(Month)-ops_start_mo, 12)))</f>
        <v>79.590599999999995</v>
      </c>
      <c r="T39" s="48" cm="1">
        <f t="array" ref="T39">_xlfn.IFS(_xlfn.SINGLE(Month)&lt;ops_start_mo,0,
_xlfn.SINGLE(Month)&gt;=ops_start_mo,
_xlfn.SINGLE(mini_customer_FCST)*mini_take_rate*mini_sales_per_car*POWER(1+inflation_store,QUOTIENT(_xlfn.SINGLE(Month)-ops_start_mo, 12)))</f>
        <v>81.182411999999999</v>
      </c>
      <c r="U39" s="48" cm="1">
        <f t="array" ref="U39">_xlfn.IFS(_xlfn.SINGLE(Month)&lt;ops_start_mo,0,
_xlfn.SINGLE(Month)&gt;=ops_start_mo,
_xlfn.SINGLE(mini_customer_FCST)*mini_take_rate*mini_sales_per_car*POWER(1+inflation_store,QUOTIENT(_xlfn.SINGLE(Month)-ops_start_mo, 12)))</f>
        <v>82.806060239999994</v>
      </c>
      <c r="V39" s="48" cm="1">
        <f t="array" ref="V39">_xlfn.IFS(_xlfn.SINGLE(Month)&lt;ops_start_mo,0,
_xlfn.SINGLE(Month)&gt;=ops_start_mo,
_xlfn.SINGLE(mini_customer_FCST)*mini_take_rate*mini_sales_per_car*POWER(1+inflation_store,QUOTIENT(_xlfn.SINGLE(Month)-ops_start_mo, 12)))</f>
        <v>84.462181444799995</v>
      </c>
      <c r="W39" s="48" cm="1">
        <f t="array" ref="W39">_xlfn.IFS(_xlfn.SINGLE(Month)&lt;ops_start_mo,0,
_xlfn.SINGLE(Month)&gt;=ops_start_mo,
_xlfn.SINGLE(mini_customer_FCST)*mini_take_rate*mini_sales_per_car*POWER(1+inflation_store,QUOTIENT(_xlfn.SINGLE(Month)-ops_start_mo, 12)))</f>
        <v>86.151425073695975</v>
      </c>
      <c r="X39" s="48" cm="1">
        <f t="array" ref="X39">_xlfn.IFS(_xlfn.SINGLE(Month)&lt;ops_start_mo,0,
_xlfn.SINGLE(Month)&gt;=ops_start_mo,
_xlfn.SINGLE(mini_customer_FCST)*mini_take_rate*mini_sales_per_car*POWER(1+inflation_store,QUOTIENT(_xlfn.SINGLE(Month)-ops_start_mo, 12)))</f>
        <v>87.874453575169923</v>
      </c>
      <c r="Y39" s="48" cm="1">
        <f t="array" ref="Y39">_xlfn.IFS(_xlfn.SINGLE(Month)&lt;ops_start_mo,0,
_xlfn.SINGLE(Month)&gt;=ops_start_mo,
_xlfn.SINGLE(mini_customer_FCST)*mini_take_rate*mini_sales_per_car*POWER(1+inflation_store,QUOTIENT(_xlfn.SINGLE(Month)-ops_start_mo, 12)))</f>
        <v>89.631942646673309</v>
      </c>
      <c r="Z39" s="48" cm="1">
        <f t="array" ref="Z39">_xlfn.IFS(_xlfn.SINGLE(Month)&lt;ops_start_mo,0,
_xlfn.SINGLE(Month)&gt;=ops_start_mo,
_xlfn.SINGLE(mini_customer_FCST)*mini_take_rate*mini_sales_per_car*POWER(1+inflation_store,QUOTIENT(_xlfn.SINGLE(Month)-ops_start_mo, 12)))</f>
        <v>91.424581499606774</v>
      </c>
      <c r="AA39" s="48" cm="1">
        <f t="array" ref="AA39">_xlfn.IFS(_xlfn.SINGLE(Month)&lt;ops_start_mo,0,
_xlfn.SINGLE(Month)&gt;=ops_start_mo,
_xlfn.SINGLE(mini_customer_FCST)*mini_take_rate*mini_sales_per_car*POWER(1+inflation_store,QUOTIENT(_xlfn.SINGLE(Month)-ops_start_mo, 12)))</f>
        <v>93.253073129598903</v>
      </c>
      <c r="AB39" s="48" cm="1">
        <f t="array" ref="AB39">_xlfn.IFS(_xlfn.SINGLE(Month)&lt;ops_start_mo,0,
_xlfn.SINGLE(Month)&gt;=ops_start_mo,
_xlfn.SINGLE(mini_customer_FCST)*mini_take_rate*mini_sales_per_car*POWER(1+inflation_store,QUOTIENT(_xlfn.SINGLE(Month)-ops_start_mo, 12)))</f>
        <v>97.971678629956628</v>
      </c>
      <c r="AC39" s="48" cm="1">
        <f t="array" ref="AC39">_xlfn.IFS(_xlfn.SINGLE(Month)&lt;ops_start_mo,0,
_xlfn.SINGLE(Month)&gt;=ops_start_mo,
_xlfn.SINGLE(mini_customer_FCST)*mini_take_rate*mini_sales_per_car*POWER(1+inflation_store,QUOTIENT(_xlfn.SINGLE(Month)-ops_start_mo, 12)))</f>
        <v>99.931112202555738</v>
      </c>
      <c r="AD39" s="48" cm="1">
        <f t="array" ref="AD39">_xlfn.IFS(_xlfn.SINGLE(Month)&lt;ops_start_mo,0,
_xlfn.SINGLE(Month)&gt;=ops_start_mo,
_xlfn.SINGLE(mini_customer_FCST)*mini_take_rate*mini_sales_per_car*POWER(1+inflation_store,QUOTIENT(_xlfn.SINGLE(Month)-ops_start_mo, 12)))</f>
        <v>101.92973444660689</v>
      </c>
      <c r="AE39" s="48" cm="1">
        <f t="array" ref="AE39">_xlfn.IFS(_xlfn.SINGLE(Month)&lt;ops_start_mo,0,
_xlfn.SINGLE(Month)&gt;=ops_start_mo,
_xlfn.SINGLE(mini_customer_FCST)*mini_take_rate*mini_sales_per_car*POWER(1+inflation_store,QUOTIENT(_xlfn.SINGLE(Month)-ops_start_mo, 12)))</f>
        <v>103.96832913553899</v>
      </c>
      <c r="AF39" s="48" cm="1">
        <f t="array" ref="AF39">_xlfn.IFS(_xlfn.SINGLE(Month)&lt;ops_start_mo,0,
_xlfn.SINGLE(Month)&gt;=ops_start_mo,
_xlfn.SINGLE(mini_customer_FCST)*mini_take_rate*mini_sales_per_car*POWER(1+inflation_store,QUOTIENT(_xlfn.SINGLE(Month)-ops_start_mo, 12)))</f>
        <v>106.0476957182498</v>
      </c>
      <c r="AG39" s="48" cm="1">
        <f t="array" ref="AG39">_xlfn.IFS(_xlfn.SINGLE(Month)&lt;ops_start_mo,0,
_xlfn.SINGLE(Month)&gt;=ops_start_mo,
_xlfn.SINGLE(mini_customer_FCST)*mini_take_rate*mini_sales_per_car*POWER(1+inflation_store,QUOTIENT(_xlfn.SINGLE(Month)-ops_start_mo, 12)))</f>
        <v>108.1686496326148</v>
      </c>
      <c r="AH39" s="48" cm="1">
        <f t="array" ref="AH39">_xlfn.IFS(_xlfn.SINGLE(Month)&lt;ops_start_mo,0,
_xlfn.SINGLE(Month)&gt;=ops_start_mo,
_xlfn.SINGLE(mini_customer_FCST)*mini_take_rate*mini_sales_per_car*POWER(1+inflation_store,QUOTIENT(_xlfn.SINGLE(Month)-ops_start_mo, 12)))</f>
        <v>110.33202262526709</v>
      </c>
      <c r="AI39" s="48" cm="1">
        <f t="array" ref="AI39">_xlfn.IFS(_xlfn.SINGLE(Month)&lt;ops_start_mo,0,
_xlfn.SINGLE(Month)&gt;=ops_start_mo,
_xlfn.SINGLE(mini_customer_FCST)*mini_take_rate*mini_sales_per_car*POWER(1+inflation_store,QUOTIENT(_xlfn.SINGLE(Month)-ops_start_mo, 12)))</f>
        <v>112.5386630777724</v>
      </c>
      <c r="AJ39" s="48" cm="1">
        <f t="array" ref="AJ39">_xlfn.IFS(_xlfn.SINGLE(Month)&lt;ops_start_mo,0,
_xlfn.SINGLE(Month)&gt;=ops_start_mo,
_xlfn.SINGLE(mini_customer_FCST)*mini_take_rate*mini_sales_per_car*POWER(1+inflation_store,QUOTIENT(_xlfn.SINGLE(Month)-ops_start_mo, 12)))</f>
        <v>114.78943633932788</v>
      </c>
      <c r="AK39" s="48" cm="1">
        <f t="array" ref="AK39">_xlfn.IFS(_xlfn.SINGLE(Month)&lt;ops_start_mo,0,
_xlfn.SINGLE(Month)&gt;=ops_start_mo,
_xlfn.SINGLE(mini_customer_FCST)*mini_take_rate*mini_sales_per_car*POWER(1+inflation_store,QUOTIENT(_xlfn.SINGLE(Month)-ops_start_mo, 12)))</f>
        <v>117.0852250661144</v>
      </c>
      <c r="AL39" s="48" cm="1">
        <f t="array" ref="AL39">_xlfn.IFS(_xlfn.SINGLE(Month)&lt;ops_start_mo,0,
_xlfn.SINGLE(Month)&gt;=ops_start_mo,
_xlfn.SINGLE(mini_customer_FCST)*mini_take_rate*mini_sales_per_car*POWER(1+inflation_store,QUOTIENT(_xlfn.SINGLE(Month)-ops_start_mo, 12)))</f>
        <v>119.42692956743672</v>
      </c>
      <c r="AM39" s="48" cm="1">
        <f t="array" ref="AM39">_xlfn.IFS(_xlfn.SINGLE(Month)&lt;ops_start_mo,0,
_xlfn.SINGLE(Month)&gt;=ops_start_mo,
_xlfn.SINGLE(mini_customer_FCST)*mini_take_rate*mini_sales_per_car*POWER(1+inflation_store,QUOTIENT(_xlfn.SINGLE(Month)-ops_start_mo, 12)))</f>
        <v>121.81546815878542</v>
      </c>
      <c r="AN39" s="48" cm="1">
        <f t="array" ref="AN39">_xlfn.IFS(_xlfn.SINGLE(Month)&lt;ops_start_mo,0,
_xlfn.SINGLE(Month)&gt;=ops_start_mo,
_xlfn.SINGLE(mini_customer_FCST)*mini_take_rate*mini_sales_per_car*POWER(1+inflation_store,QUOTIENT(_xlfn.SINGLE(Month)-ops_start_mo, 12)))</f>
        <v>127.97933084761995</v>
      </c>
      <c r="AO39" s="48" cm="1">
        <f t="array" ref="AO39">_xlfn.IFS(_xlfn.SINGLE(Month)&lt;ops_start_mo,0,
_xlfn.SINGLE(Month)&gt;=ops_start_mo,
_xlfn.SINGLE(mini_customer_FCST)*mini_take_rate*mini_sales_per_car*POWER(1+inflation_store,QUOTIENT(_xlfn.SINGLE(Month)-ops_start_mo, 12)))</f>
        <v>130.53891746457236</v>
      </c>
      <c r="AP39" s="48" cm="1">
        <f t="array" ref="AP39">_xlfn.IFS(_xlfn.SINGLE(Month)&lt;ops_start_mo,0,
_xlfn.SINGLE(Month)&gt;=ops_start_mo,
_xlfn.SINGLE(mini_customer_FCST)*mini_take_rate*mini_sales_per_car*POWER(1+inflation_store,QUOTIENT(_xlfn.SINGLE(Month)-ops_start_mo, 12)))</f>
        <v>133.14969581386381</v>
      </c>
      <c r="AQ39" s="48" cm="1">
        <f t="array" ref="AQ39">_xlfn.IFS(_xlfn.SINGLE(Month)&lt;ops_start_mo,0,
_xlfn.SINGLE(Month)&gt;=ops_start_mo,
_xlfn.SINGLE(mini_customer_FCST)*mini_take_rate*mini_sales_per_car*POWER(1+inflation_store,QUOTIENT(_xlfn.SINGLE(Month)-ops_start_mo, 12)))</f>
        <v>135.81268973014107</v>
      </c>
      <c r="AR39" s="48" cm="1">
        <f t="array" ref="AR39">_xlfn.IFS(_xlfn.SINGLE(Month)&lt;ops_start_mo,0,
_xlfn.SINGLE(Month)&gt;=ops_start_mo,
_xlfn.SINGLE(mini_customer_FCST)*mini_take_rate*mini_sales_per_car*POWER(1+inflation_store,QUOTIENT(_xlfn.SINGLE(Month)-ops_start_mo, 12)))</f>
        <v>138.52894352474391</v>
      </c>
      <c r="AS39" s="48" cm="1">
        <f t="array" ref="AS39">_xlfn.IFS(_xlfn.SINGLE(Month)&lt;ops_start_mo,0,
_xlfn.SINGLE(Month)&gt;=ops_start_mo,
_xlfn.SINGLE(mini_customer_FCST)*mini_take_rate*mini_sales_per_car*POWER(1+inflation_store,QUOTIENT(_xlfn.SINGLE(Month)-ops_start_mo, 12)))</f>
        <v>141.29952239523877</v>
      </c>
      <c r="AT39" s="48" cm="1">
        <f t="array" ref="AT39">_xlfn.IFS(_xlfn.SINGLE(Month)&lt;ops_start_mo,0,
_xlfn.SINGLE(Month)&gt;=ops_start_mo,
_xlfn.SINGLE(mini_customer_FCST)*mini_take_rate*mini_sales_per_car*POWER(1+inflation_store,QUOTIENT(_xlfn.SINGLE(Month)-ops_start_mo, 12)))</f>
        <v>144.12551284314358</v>
      </c>
      <c r="AU39" s="48" cm="1">
        <f t="array" ref="AU39">_xlfn.IFS(_xlfn.SINGLE(Month)&lt;ops_start_mo,0,
_xlfn.SINGLE(Month)&gt;=ops_start_mo,
_xlfn.SINGLE(mini_customer_FCST)*mini_take_rate*mini_sales_per_car*POWER(1+inflation_store,QUOTIENT(_xlfn.SINGLE(Month)-ops_start_mo, 12)))</f>
        <v>147.0080231000064</v>
      </c>
      <c r="AV39" s="48" cm="1">
        <f t="array" ref="AV39">_xlfn.IFS(_xlfn.SINGLE(Month)&lt;ops_start_mo,0,
_xlfn.SINGLE(Month)&gt;=ops_start_mo,
_xlfn.SINGLE(mini_customer_FCST)*mini_take_rate*mini_sales_per_car*POWER(1+inflation_store,QUOTIENT(_xlfn.SINGLE(Month)-ops_start_mo, 12)))</f>
        <v>149.94818356200656</v>
      </c>
      <c r="AW39" s="48" cm="1">
        <f t="array" ref="AW39">_xlfn.IFS(_xlfn.SINGLE(Month)&lt;ops_start_mo,0,
_xlfn.SINGLE(Month)&gt;=ops_start_mo,
_xlfn.SINGLE(mini_customer_FCST)*mini_take_rate*mini_sales_per_car*POWER(1+inflation_store,QUOTIENT(_xlfn.SINGLE(Month)-ops_start_mo, 12)))</f>
        <v>152.94714723324668</v>
      </c>
      <c r="AX39" s="48" cm="1">
        <f t="array" ref="AX39">_xlfn.IFS(_xlfn.SINGLE(Month)&lt;ops_start_mo,0,
_xlfn.SINGLE(Month)&gt;=ops_start_mo,
_xlfn.SINGLE(mini_customer_FCST)*mini_take_rate*mini_sales_per_car*POWER(1+inflation_store,QUOTIENT(_xlfn.SINGLE(Month)-ops_start_mo, 12)))</f>
        <v>156.0060901779116</v>
      </c>
      <c r="AY39" s="48" cm="1">
        <f t="array" ref="AY39">_xlfn.IFS(_xlfn.SINGLE(Month)&lt;ops_start_mo,0,
_xlfn.SINGLE(Month)&gt;=ops_start_mo,
_xlfn.SINGLE(mini_customer_FCST)*mini_take_rate*mini_sales_per_car*POWER(1+inflation_store,QUOTIENT(_xlfn.SINGLE(Month)-ops_start_mo, 12)))</f>
        <v>159.12621198146985</v>
      </c>
      <c r="AZ39" s="48" cm="1">
        <f t="array" ref="AZ39">_xlfn.IFS(_xlfn.SINGLE(Month)&lt;ops_start_mo,0,
_xlfn.SINGLE(Month)&gt;=ops_start_mo,
_xlfn.SINGLE(mini_customer_FCST)*mini_take_rate*mini_sales_per_car*POWER(1+inflation_store,QUOTIENT(_xlfn.SINGLE(Month)-ops_start_mo, 12)))</f>
        <v>167.17799830773222</v>
      </c>
      <c r="BA39" s="48" cm="1">
        <f t="array" ref="BA39">_xlfn.IFS(_xlfn.SINGLE(Month)&lt;ops_start_mo,0,
_xlfn.SINGLE(Month)&gt;=ops_start_mo,
_xlfn.SINGLE(mini_customer_FCST)*mini_take_rate*mini_sales_per_car*POWER(1+inflation_store,QUOTIENT(_xlfn.SINGLE(Month)-ops_start_mo, 12)))</f>
        <v>170.52155827388688</v>
      </c>
      <c r="BB39" s="48" cm="1">
        <f t="array" ref="BB39">_xlfn.IFS(_xlfn.SINGLE(Month)&lt;ops_start_mo,0,
_xlfn.SINGLE(Month)&gt;=ops_start_mo,
_xlfn.SINGLE(mini_customer_FCST)*mini_take_rate*mini_sales_per_car*POWER(1+inflation_store,QUOTIENT(_xlfn.SINGLE(Month)-ops_start_mo, 12)))</f>
        <v>173.93198943936468</v>
      </c>
      <c r="BC39" s="48" cm="1">
        <f t="array" ref="BC39">_xlfn.IFS(_xlfn.SINGLE(Month)&lt;ops_start_mo,0,
_xlfn.SINGLE(Month)&gt;=ops_start_mo,
_xlfn.SINGLE(mini_customer_FCST)*mini_take_rate*mini_sales_per_car*POWER(1+inflation_store,QUOTIENT(_xlfn.SINGLE(Month)-ops_start_mo, 12)))</f>
        <v>177.41062922815189</v>
      </c>
      <c r="BD39" s="48" cm="1">
        <f t="array" ref="BD39">_xlfn.IFS(_xlfn.SINGLE(Month)&lt;ops_start_mo,0,
_xlfn.SINGLE(Month)&gt;=ops_start_mo,
_xlfn.SINGLE(mini_customer_FCST)*mini_take_rate*mini_sales_per_car*POWER(1+inflation_store,QUOTIENT(_xlfn.SINGLE(Month)-ops_start_mo, 12)))</f>
        <v>180.95884181271495</v>
      </c>
      <c r="BE39" s="48" cm="1">
        <f t="array" ref="BE39">_xlfn.IFS(_xlfn.SINGLE(Month)&lt;ops_start_mo,0,
_xlfn.SINGLE(Month)&gt;=ops_start_mo,
_xlfn.SINGLE(mini_customer_FCST)*mini_take_rate*mini_sales_per_car*POWER(1+inflation_store,QUOTIENT(_xlfn.SINGLE(Month)-ops_start_mo, 12)))</f>
        <v>184.57801864896928</v>
      </c>
      <c r="BF39" s="48" cm="1">
        <f t="array" ref="BF39">_xlfn.IFS(_xlfn.SINGLE(Month)&lt;ops_start_mo,0,
_xlfn.SINGLE(Month)&gt;=ops_start_mo,
_xlfn.SINGLE(mini_customer_FCST)*mini_take_rate*mini_sales_per_car*POWER(1+inflation_store,QUOTIENT(_xlfn.SINGLE(Month)-ops_start_mo, 12)))</f>
        <v>188.26957902194863</v>
      </c>
      <c r="BG39" s="48" cm="1">
        <f t="array" ref="BG39">_xlfn.IFS(_xlfn.SINGLE(Month)&lt;ops_start_mo,0,
_xlfn.SINGLE(Month)&gt;=ops_start_mo,
_xlfn.SINGLE(mini_customer_FCST)*mini_take_rate*mini_sales_per_car*POWER(1+inflation_store,QUOTIENT(_xlfn.SINGLE(Month)-ops_start_mo, 12)))</f>
        <v>192.03497060238755</v>
      </c>
      <c r="BH39" s="48" cm="1">
        <f t="array" ref="BH39">_xlfn.IFS(_xlfn.SINGLE(Month)&lt;ops_start_mo,0,
_xlfn.SINGLE(Month)&gt;=ops_start_mo,
_xlfn.SINGLE(mini_customer_FCST)*mini_take_rate*mini_sales_per_car*POWER(1+inflation_store,QUOTIENT(_xlfn.SINGLE(Month)-ops_start_mo, 12)))</f>
        <v>195.8756700144354</v>
      </c>
      <c r="BI39" s="48" cm="1">
        <f t="array" ref="BI39">_xlfn.IFS(_xlfn.SINGLE(Month)&lt;ops_start_mo,0,
_xlfn.SINGLE(Month)&gt;=ops_start_mo,
_xlfn.SINGLE(mini_customer_FCST)*mini_take_rate*mini_sales_per_car*POWER(1+inflation_store,QUOTIENT(_xlfn.SINGLE(Month)-ops_start_mo, 12)))</f>
        <v>199.79318341472407</v>
      </c>
      <c r="BJ39" s="48" cm="1">
        <f t="array" ref="BJ39">_xlfn.IFS(_xlfn.SINGLE(Month)&lt;ops_start_mo,0,
_xlfn.SINGLE(Month)&gt;=ops_start_mo,
_xlfn.SINGLE(mini_customer_FCST)*mini_take_rate*mini_sales_per_car*POWER(1+inflation_store,QUOTIENT(_xlfn.SINGLE(Month)-ops_start_mo, 12)))</f>
        <v>203.78904708301854</v>
      </c>
      <c r="BK39" s="48" cm="1">
        <f t="array" ref="BK39">_xlfn.IFS(_xlfn.SINGLE(Month)&lt;ops_start_mo,0,
_xlfn.SINGLE(Month)&gt;=ops_start_mo,
_xlfn.SINGLE(mini_customer_FCST)*mini_take_rate*mini_sales_per_car*POWER(1+inflation_store,QUOTIENT(_xlfn.SINGLE(Month)-ops_start_mo, 12)))</f>
        <v>207.86482802467887</v>
      </c>
      <c r="BL39" s="48" cm="1">
        <f t="array" ref="BL39">_xlfn.IFS(_xlfn.SINGLE(Month)&lt;ops_start_mo,0,
_xlfn.SINGLE(Month)&gt;=ops_start_mo,
_xlfn.SINGLE(mini_customer_FCST)*mini_take_rate*mini_sales_per_car*POWER(1+inflation_store,QUOTIENT(_xlfn.SINGLE(Month)-ops_start_mo, 12)))</f>
        <v>218.38278832272761</v>
      </c>
      <c r="BM39" s="48" cm="1">
        <f t="array" ref="BM39">_xlfn.IFS(_xlfn.SINGLE(Month)&lt;ops_start_mo,0,
_xlfn.SINGLE(Month)&gt;=ops_start_mo,
_xlfn.SINGLE(mini_customer_FCST)*mini_take_rate*mini_sales_per_car*POWER(1+inflation_store,QUOTIENT(_xlfn.SINGLE(Month)-ops_start_mo, 12)))</f>
        <v>222.7504440891822</v>
      </c>
      <c r="BN39" s="48" cm="1">
        <f t="array" ref="BN39">_xlfn.IFS(_xlfn.SINGLE(Month)&lt;ops_start_mo,0,
_xlfn.SINGLE(Month)&gt;=ops_start_mo,
_xlfn.SINGLE(mini_customer_FCST)*mini_take_rate*mini_sales_per_car*POWER(1+inflation_store,QUOTIENT(_xlfn.SINGLE(Month)-ops_start_mo, 12)))</f>
        <v>227.20545297096587</v>
      </c>
      <c r="BO39" s="48" cm="1">
        <f t="array" ref="BO39">_xlfn.IFS(_xlfn.SINGLE(Month)&lt;ops_start_mo,0,
_xlfn.SINGLE(Month)&gt;=ops_start_mo,
_xlfn.SINGLE(mini_customer_FCST)*mini_take_rate*mini_sales_per_car*POWER(1+inflation_store,QUOTIENT(_xlfn.SINGLE(Month)-ops_start_mo, 12)))</f>
        <v>231.74956203038514</v>
      </c>
      <c r="BP39" s="48" cm="1">
        <f t="array" ref="BP39">_xlfn.IFS(_xlfn.SINGLE(Month)&lt;ops_start_mo,0,
_xlfn.SINGLE(Month)&gt;=ops_start_mo,
_xlfn.SINGLE(mini_customer_FCST)*mini_take_rate*mini_sales_per_car*POWER(1+inflation_store,QUOTIENT(_xlfn.SINGLE(Month)-ops_start_mo, 12)))</f>
        <v>236.38455327099288</v>
      </c>
      <c r="BQ39" s="48" cm="1">
        <f t="array" ref="BQ39">_xlfn.IFS(_xlfn.SINGLE(Month)&lt;ops_start_mo,0,
_xlfn.SINGLE(Month)&gt;=ops_start_mo,
_xlfn.SINGLE(mini_customer_FCST)*mini_take_rate*mini_sales_per_car*POWER(1+inflation_store,QUOTIENT(_xlfn.SINGLE(Month)-ops_start_mo, 12)))</f>
        <v>241.11224433641269</v>
      </c>
      <c r="BR39" s="48" cm="1">
        <f t="array" ref="BR39">_xlfn.IFS(_xlfn.SINGLE(Month)&lt;ops_start_mo,0,
_xlfn.SINGLE(Month)&gt;=ops_start_mo,
_xlfn.SINGLE(mini_customer_FCST)*mini_take_rate*mini_sales_per_car*POWER(1+inflation_store,QUOTIENT(_xlfn.SINGLE(Month)-ops_start_mo, 12)))</f>
        <v>245.93448922314096</v>
      </c>
      <c r="BS39" s="48" cm="1">
        <f t="array" ref="BS39">_xlfn.IFS(_xlfn.SINGLE(Month)&lt;ops_start_mo,0,
_xlfn.SINGLE(Month)&gt;=ops_start_mo,
_xlfn.SINGLE(mini_customer_FCST)*mini_take_rate*mini_sales_per_car*POWER(1+inflation_store,QUOTIENT(_xlfn.SINGLE(Month)-ops_start_mo, 12)))</f>
        <v>250.85317900760376</v>
      </c>
      <c r="BT39" s="48" cm="1">
        <f t="array" ref="BT39">_xlfn.IFS(_xlfn.SINGLE(Month)&lt;ops_start_mo,0,
_xlfn.SINGLE(Month)&gt;=ops_start_mo,
_xlfn.SINGLE(mini_customer_FCST)*mini_take_rate*mini_sales_per_car*POWER(1+inflation_store,QUOTIENT(_xlfn.SINGLE(Month)-ops_start_mo, 12)))</f>
        <v>255.8702425877558</v>
      </c>
      <c r="BU39" s="48" cm="1">
        <f t="array" ref="BU39">_xlfn.IFS(_xlfn.SINGLE(Month)&lt;ops_start_mo,0,
_xlfn.SINGLE(Month)&gt;=ops_start_mo,
_xlfn.SINGLE(mini_customer_FCST)*mini_take_rate*mini_sales_per_car*POWER(1+inflation_store,QUOTIENT(_xlfn.SINGLE(Month)-ops_start_mo, 12)))</f>
        <v>260.98764743951097</v>
      </c>
      <c r="BV39" s="48" cm="1">
        <f t="array" ref="BV39">_xlfn.IFS(_xlfn.SINGLE(Month)&lt;ops_start_mo,0,
_xlfn.SINGLE(Month)&gt;=ops_start_mo,
_xlfn.SINGLE(mini_customer_FCST)*mini_take_rate*mini_sales_per_car*POWER(1+inflation_store,QUOTIENT(_xlfn.SINGLE(Month)-ops_start_mo, 12)))</f>
        <v>266.20740038830115</v>
      </c>
      <c r="BW39" s="48" cm="1">
        <f t="array" ref="BW39">_xlfn.IFS(_xlfn.SINGLE(Month)&lt;ops_start_mo,0,
_xlfn.SINGLE(Month)&gt;=ops_start_mo,
_xlfn.SINGLE(mini_customer_FCST)*mini_take_rate*mini_sales_per_car*POWER(1+inflation_store,QUOTIENT(_xlfn.SINGLE(Month)-ops_start_mo, 12)))</f>
        <v>271.53154839606719</v>
      </c>
      <c r="BX39" s="48" cm="1">
        <f t="array" ref="BX39">_xlfn.IFS(_xlfn.SINGLE(Month)&lt;ops_start_mo,0,
_xlfn.SINGLE(Month)&gt;=ops_start_mo,
_xlfn.SINGLE(mini_customer_FCST)*mini_take_rate*mini_sales_per_car*POWER(1+inflation_store,QUOTIENT(_xlfn.SINGLE(Month)-ops_start_mo, 12)))</f>
        <v>281.07588232218887</v>
      </c>
      <c r="BY39" s="48" cm="1">
        <f t="array" ref="BY39">_xlfn.IFS(_xlfn.SINGLE(Month)&lt;ops_start_mo,0,
_xlfn.SINGLE(Month)&gt;=ops_start_mo,
_xlfn.SINGLE(mini_customer_FCST)*mini_take_rate*mini_sales_per_car*POWER(1+inflation_store,QUOTIENT(_xlfn.SINGLE(Month)-ops_start_mo, 12)))</f>
        <v>282.48126173379973</v>
      </c>
      <c r="BZ39" s="48" cm="1">
        <f t="array" ref="BZ39">_xlfn.IFS(_xlfn.SINGLE(Month)&lt;ops_start_mo,0,
_xlfn.SINGLE(Month)&gt;=ops_start_mo,
_xlfn.SINGLE(mini_customer_FCST)*mini_take_rate*mini_sales_per_car*POWER(1+inflation_store,QUOTIENT(_xlfn.SINGLE(Month)-ops_start_mo, 12)))</f>
        <v>283.89366804246873</v>
      </c>
      <c r="CA39" s="48" cm="1">
        <f t="array" ref="CA39">_xlfn.IFS(_xlfn.SINGLE(Month)&lt;ops_start_mo,0,
_xlfn.SINGLE(Month)&gt;=ops_start_mo,
_xlfn.SINGLE(mini_customer_FCST)*mini_take_rate*mini_sales_per_car*POWER(1+inflation_store,QUOTIENT(_xlfn.SINGLE(Month)-ops_start_mo, 12)))</f>
        <v>285.31313638268097</v>
      </c>
      <c r="CB39" s="48" cm="1">
        <f t="array" ref="CB39">_xlfn.IFS(_xlfn.SINGLE(Month)&lt;ops_start_mo,0,
_xlfn.SINGLE(Month)&gt;=ops_start_mo,
_xlfn.SINGLE(mini_customer_FCST)*mini_take_rate*mini_sales_per_car*POWER(1+inflation_store,QUOTIENT(_xlfn.SINGLE(Month)-ops_start_mo, 12)))</f>
        <v>286.73970206459433</v>
      </c>
      <c r="CC39" s="48" cm="1">
        <f t="array" ref="CC39">_xlfn.IFS(_xlfn.SINGLE(Month)&lt;ops_start_mo,0,
_xlfn.SINGLE(Month)&gt;=ops_start_mo,
_xlfn.SINGLE(mini_customer_FCST)*mini_take_rate*mini_sales_per_car*POWER(1+inflation_store,QUOTIENT(_xlfn.SINGLE(Month)-ops_start_mo, 12)))</f>
        <v>288.17340057491725</v>
      </c>
      <c r="CD39" s="48" cm="1">
        <f t="array" ref="CD39">_xlfn.IFS(_xlfn.SINGLE(Month)&lt;ops_start_mo,0,
_xlfn.SINGLE(Month)&gt;=ops_start_mo,
_xlfn.SINGLE(mini_customer_FCST)*mini_take_rate*mini_sales_per_car*POWER(1+inflation_store,QUOTIENT(_xlfn.SINGLE(Month)-ops_start_mo, 12)))</f>
        <v>289.61426757779179</v>
      </c>
      <c r="CE39" s="48" cm="1">
        <f t="array" ref="CE39">_xlfn.IFS(_xlfn.SINGLE(Month)&lt;ops_start_mo,0,
_xlfn.SINGLE(Month)&gt;=ops_start_mo,
_xlfn.SINGLE(mini_customer_FCST)*mini_take_rate*mini_sales_per_car*POWER(1+inflation_store,QUOTIENT(_xlfn.SINGLE(Month)-ops_start_mo, 12)))</f>
        <v>291.06233891568075</v>
      </c>
      <c r="CF39" s="48" cm="1">
        <f t="array" ref="CF39">_xlfn.IFS(_xlfn.SINGLE(Month)&lt;ops_start_mo,0,
_xlfn.SINGLE(Month)&gt;=ops_start_mo,
_xlfn.SINGLE(mini_customer_FCST)*mini_take_rate*mini_sales_per_car*POWER(1+inflation_store,QUOTIENT(_xlfn.SINGLE(Month)-ops_start_mo, 12)))</f>
        <v>292.51765061025918</v>
      </c>
      <c r="CG39" s="48" cm="1">
        <f t="array" ref="CG39">_xlfn.IFS(_xlfn.SINGLE(Month)&lt;ops_start_mo,0,
_xlfn.SINGLE(Month)&gt;=ops_start_mo,
_xlfn.SINGLE(mini_customer_FCST)*mini_take_rate*mini_sales_per_car*POWER(1+inflation_store,QUOTIENT(_xlfn.SINGLE(Month)-ops_start_mo, 12)))</f>
        <v>293.98023886331038</v>
      </c>
      <c r="CH39" s="48" cm="1">
        <f t="array" ref="CH39">_xlfn.IFS(_xlfn.SINGLE(Month)&lt;ops_start_mo,0,
_xlfn.SINGLE(Month)&gt;=ops_start_mo,
_xlfn.SINGLE(mini_customer_FCST)*mini_take_rate*mini_sales_per_car*POWER(1+inflation_store,QUOTIENT(_xlfn.SINGLE(Month)-ops_start_mo, 12)))</f>
        <v>295.45014005762692</v>
      </c>
      <c r="CI39" s="48" cm="1">
        <f t="array" ref="CI39">_xlfn.IFS(_xlfn.SINGLE(Month)&lt;ops_start_mo,0,
_xlfn.SINGLE(Month)&gt;=ops_start_mo,
_xlfn.SINGLE(mini_customer_FCST)*mini_take_rate*mini_sales_per_car*POWER(1+inflation_store,QUOTIENT(_xlfn.SINGLE(Month)-ops_start_mo, 12)))</f>
        <v>296.92739075791491</v>
      </c>
      <c r="CJ39" s="48" cm="1">
        <f t="array" ref="CJ39">_xlfn.IFS(_xlfn.SINGLE(Month)&lt;ops_start_mo,0,
_xlfn.SINGLE(Month)&gt;=ops_start_mo,
_xlfn.SINGLE(mini_customer_FCST)*mini_take_rate*mini_sales_per_car*POWER(1+inflation_store,QUOTIENT(_xlfn.SINGLE(Month)-ops_start_mo, 12)))</f>
        <v>307.36438854305561</v>
      </c>
      <c r="CK39" s="48" cm="1">
        <f t="array" ref="CK39">_xlfn.IFS(_xlfn.SINGLE(Month)&lt;ops_start_mo,0,
_xlfn.SINGLE(Month)&gt;=ops_start_mo,
_xlfn.SINGLE(mini_customer_FCST)*mini_take_rate*mini_sales_per_car*POWER(1+inflation_store,QUOTIENT(_xlfn.SINGLE(Month)-ops_start_mo, 12)))</f>
        <v>308.90121048577089</v>
      </c>
      <c r="CL39" s="48" cm="1">
        <f t="array" ref="CL39">_xlfn.IFS(_xlfn.SINGLE(Month)&lt;ops_start_mo,0,
_xlfn.SINGLE(Month)&gt;=ops_start_mo,
_xlfn.SINGLE(mini_customer_FCST)*mini_take_rate*mini_sales_per_car*POWER(1+inflation_store,QUOTIENT(_xlfn.SINGLE(Month)-ops_start_mo, 12)))</f>
        <v>310.44571653819969</v>
      </c>
      <c r="CM39" s="48" cm="1">
        <f t="array" ref="CM39">_xlfn.IFS(_xlfn.SINGLE(Month)&lt;ops_start_mo,0,
_xlfn.SINGLE(Month)&gt;=ops_start_mo,
_xlfn.SINGLE(mini_customer_FCST)*mini_take_rate*mini_sales_per_car*POWER(1+inflation_store,QUOTIENT(_xlfn.SINGLE(Month)-ops_start_mo, 12)))</f>
        <v>311.99794512089062</v>
      </c>
      <c r="CN39" s="48" cm="1">
        <f t="array" ref="CN39">_xlfn.IFS(_xlfn.SINGLE(Month)&lt;ops_start_mo,0,
_xlfn.SINGLE(Month)&gt;=ops_start_mo,
_xlfn.SINGLE(mini_customer_FCST)*mini_take_rate*mini_sales_per_car*POWER(1+inflation_store,QUOTIENT(_xlfn.SINGLE(Month)-ops_start_mo, 12)))</f>
        <v>313.55793484649507</v>
      </c>
      <c r="CO39" s="48" cm="1">
        <f t="array" ref="CO39">_xlfn.IFS(_xlfn.SINGLE(Month)&lt;ops_start_mo,0,
_xlfn.SINGLE(Month)&gt;=ops_start_mo,
_xlfn.SINGLE(mini_customer_FCST)*mini_take_rate*mini_sales_per_car*POWER(1+inflation_store,QUOTIENT(_xlfn.SINGLE(Month)-ops_start_mo, 12)))</f>
        <v>315.12572452072743</v>
      </c>
      <c r="CP39" s="48" cm="1">
        <f t="array" ref="CP39">_xlfn.IFS(_xlfn.SINGLE(Month)&lt;ops_start_mo,0,
_xlfn.SINGLE(Month)&gt;=ops_start_mo,
_xlfn.SINGLE(mini_customer_FCST)*mini_take_rate*mini_sales_per_car*POWER(1+inflation_store,QUOTIENT(_xlfn.SINGLE(Month)-ops_start_mo, 12)))</f>
        <v>316.70135314333106</v>
      </c>
      <c r="CQ39" s="48" cm="1">
        <f t="array" ref="CQ39">_xlfn.IFS(_xlfn.SINGLE(Month)&lt;ops_start_mo,0,
_xlfn.SINGLE(Month)&gt;=ops_start_mo,
_xlfn.SINGLE(mini_customer_FCST)*mini_take_rate*mini_sales_per_car*POWER(1+inflation_store,QUOTIENT(_xlfn.SINGLE(Month)-ops_start_mo, 12)))</f>
        <v>318.28485990904773</v>
      </c>
      <c r="CR39" s="48" cm="1">
        <f t="array" ref="CR39">_xlfn.IFS(_xlfn.SINGLE(Month)&lt;ops_start_mo,0,
_xlfn.SINGLE(Month)&gt;=ops_start_mo,
_xlfn.SINGLE(mini_customer_FCST)*mini_take_rate*mini_sales_per_car*POWER(1+inflation_store,QUOTIENT(_xlfn.SINGLE(Month)-ops_start_mo, 12)))</f>
        <v>319.87628420859284</v>
      </c>
      <c r="CS39" s="48" cm="1">
        <f t="array" ref="CS39">_xlfn.IFS(_xlfn.SINGLE(Month)&lt;ops_start_mo,0,
_xlfn.SINGLE(Month)&gt;=ops_start_mo,
_xlfn.SINGLE(mini_customer_FCST)*mini_take_rate*mini_sales_per_car*POWER(1+inflation_store,QUOTIENT(_xlfn.SINGLE(Month)-ops_start_mo, 12)))</f>
        <v>321.47566562963573</v>
      </c>
      <c r="CT39" s="48" cm="1">
        <f t="array" ref="CT39">_xlfn.IFS(_xlfn.SINGLE(Month)&lt;ops_start_mo,0,
_xlfn.SINGLE(Month)&gt;=ops_start_mo,
_xlfn.SINGLE(mini_customer_FCST)*mini_take_rate*mini_sales_per_car*POWER(1+inflation_store,QUOTIENT(_xlfn.SINGLE(Month)-ops_start_mo, 12)))</f>
        <v>323.08304395778384</v>
      </c>
      <c r="CU39" s="48" cm="1">
        <f t="array" ref="CU39">_xlfn.IFS(_xlfn.SINGLE(Month)&lt;ops_start_mo,0,
_xlfn.SINGLE(Month)&gt;=ops_start_mo,
_xlfn.SINGLE(mini_customer_FCST)*mini_take_rate*mini_sales_per_car*POWER(1+inflation_store,QUOTIENT(_xlfn.SINGLE(Month)-ops_start_mo, 12)))</f>
        <v>324.69845917757277</v>
      </c>
      <c r="CV39" s="48" cm="1">
        <f t="array" ref="CV39">_xlfn.IFS(_xlfn.SINGLE(Month)&lt;ops_start_mo,0,
_xlfn.SINGLE(Month)&gt;=ops_start_mo,
_xlfn.SINGLE(mini_customer_FCST)*mini_take_rate*mini_sales_per_car*POWER(1+inflation_store,QUOTIENT(_xlfn.SINGLE(Month)-ops_start_mo, 12)))</f>
        <v>336.11161001766447</v>
      </c>
      <c r="CW39" s="48" cm="1">
        <f t="array" ref="CW39">_xlfn.IFS(_xlfn.SINGLE(Month)&lt;ops_start_mo,0,
_xlfn.SINGLE(Month)&gt;=ops_start_mo,
_xlfn.SINGLE(mini_customer_FCST)*mini_take_rate*mini_sales_per_car*POWER(1+inflation_store,QUOTIENT(_xlfn.SINGLE(Month)-ops_start_mo, 12)))</f>
        <v>337.79216806775275</v>
      </c>
      <c r="CX39" s="48" cm="1">
        <f t="array" ref="CX39">_xlfn.IFS(_xlfn.SINGLE(Month)&lt;ops_start_mo,0,
_xlfn.SINGLE(Month)&gt;=ops_start_mo,
_xlfn.SINGLE(mini_customer_FCST)*mini_take_rate*mini_sales_per_car*POWER(1+inflation_store,QUOTIENT(_xlfn.SINGLE(Month)-ops_start_mo, 12)))</f>
        <v>339.48112890809148</v>
      </c>
      <c r="CY39" s="48" cm="1">
        <f t="array" ref="CY39">_xlfn.IFS(_xlfn.SINGLE(Month)&lt;ops_start_mo,0,
_xlfn.SINGLE(Month)&gt;=ops_start_mo,
_xlfn.SINGLE(mini_customer_FCST)*mini_take_rate*mini_sales_per_car*POWER(1+inflation_store,QUOTIENT(_xlfn.SINGLE(Month)-ops_start_mo, 12)))</f>
        <v>341.17853455263179</v>
      </c>
      <c r="CZ39" s="48" cm="1">
        <f t="array" ref="CZ39">_xlfn.IFS(_xlfn.SINGLE(Month)&lt;ops_start_mo,0,
_xlfn.SINGLE(Month)&gt;=ops_start_mo,
_xlfn.SINGLE(mini_customer_FCST)*mini_take_rate*mini_sales_per_car*POWER(1+inflation_store,QUOTIENT(_xlfn.SINGLE(Month)-ops_start_mo, 12)))</f>
        <v>342.88442722539497</v>
      </c>
      <c r="DA39" s="48" cm="1">
        <f t="array" ref="DA39">_xlfn.IFS(_xlfn.SINGLE(Month)&lt;ops_start_mo,0,
_xlfn.SINGLE(Month)&gt;=ops_start_mo,
_xlfn.SINGLE(mini_customer_FCST)*mini_take_rate*mini_sales_per_car*POWER(1+inflation_store,QUOTIENT(_xlfn.SINGLE(Month)-ops_start_mo, 12)))</f>
        <v>344.59884936152184</v>
      </c>
      <c r="DB39" s="48" cm="1">
        <f t="array" ref="DB39">_xlfn.IFS(_xlfn.SINGLE(Month)&lt;ops_start_mo,0,
_xlfn.SINGLE(Month)&gt;=ops_start_mo,
_xlfn.SINGLE(mini_customer_FCST)*mini_take_rate*mini_sales_per_car*POWER(1+inflation_store,QUOTIENT(_xlfn.SINGLE(Month)-ops_start_mo, 12)))</f>
        <v>346.3218436083294</v>
      </c>
      <c r="DC39" s="48" cm="1">
        <f t="array" ref="DC39">_xlfn.IFS(_xlfn.SINGLE(Month)&lt;ops_start_mo,0,
_xlfn.SINGLE(Month)&gt;=ops_start_mo,
_xlfn.SINGLE(mini_customer_FCST)*mini_take_rate*mini_sales_per_car*POWER(1+inflation_store,QUOTIENT(_xlfn.SINGLE(Month)-ops_start_mo, 12)))</f>
        <v>348.05345282637097</v>
      </c>
      <c r="DD39" s="48" cm="1">
        <f t="array" ref="DD39">_xlfn.IFS(_xlfn.SINGLE(Month)&lt;ops_start_mo,0,
_xlfn.SINGLE(Month)&gt;=ops_start_mo,
_xlfn.SINGLE(mini_customer_FCST)*mini_take_rate*mini_sales_per_car*POWER(1+inflation_store,QUOTIENT(_xlfn.SINGLE(Month)-ops_start_mo, 12)))</f>
        <v>349.7937200905028</v>
      </c>
      <c r="DE39" s="48" cm="1">
        <f t="array" ref="DE39">_xlfn.IFS(_xlfn.SINGLE(Month)&lt;ops_start_mo,0,
_xlfn.SINGLE(Month)&gt;=ops_start_mo,
_xlfn.SINGLE(mini_customer_FCST)*mini_take_rate*mini_sales_per_car*POWER(1+inflation_store,QUOTIENT(_xlfn.SINGLE(Month)-ops_start_mo, 12)))</f>
        <v>351.54268869095517</v>
      </c>
      <c r="DF39" s="48" cm="1">
        <f t="array" ref="DF39">_xlfn.IFS(_xlfn.SINGLE(Month)&lt;ops_start_mo,0,
_xlfn.SINGLE(Month)&gt;=ops_start_mo,
_xlfn.SINGLE(mini_customer_FCST)*mini_take_rate*mini_sales_per_car*POWER(1+inflation_store,QUOTIENT(_xlfn.SINGLE(Month)-ops_start_mo, 12)))</f>
        <v>353.30040213440998</v>
      </c>
      <c r="DG39" s="48" cm="1">
        <f t="array" ref="DG39">_xlfn.IFS(_xlfn.SINGLE(Month)&lt;ops_start_mo,0,
_xlfn.SINGLE(Month)&gt;=ops_start_mo,
_xlfn.SINGLE(mini_customer_FCST)*mini_take_rate*mini_sales_per_car*POWER(1+inflation_store,QUOTIENT(_xlfn.SINGLE(Month)-ops_start_mo, 12)))</f>
        <v>355.06690414508193</v>
      </c>
      <c r="DH39" s="48" cm="1">
        <f t="array" ref="DH39">_xlfn.IFS(_xlfn.SINGLE(Month)&lt;ops_start_mo,0,
_xlfn.SINGLE(Month)&gt;=ops_start_mo,
_xlfn.SINGLE(mini_customer_FCST)*mini_take_rate*mini_sales_per_car*POWER(1+inflation_store,QUOTIENT(_xlfn.SINGLE(Month)-ops_start_mo, 12)))</f>
        <v>367.5475058257814</v>
      </c>
      <c r="DI39" s="48" cm="1">
        <f t="array" ref="DI39">_xlfn.IFS(_xlfn.SINGLE(Month)&lt;ops_start_mo,0,
_xlfn.SINGLE(Month)&gt;=ops_start_mo,
_xlfn.SINGLE(mini_customer_FCST)*mini_take_rate*mini_sales_per_car*POWER(1+inflation_store,QUOTIENT(_xlfn.SINGLE(Month)-ops_start_mo, 12)))</f>
        <v>369.3852433549103</v>
      </c>
      <c r="DJ39" s="48" cm="1">
        <f t="array" ref="DJ39">_xlfn.IFS(_xlfn.SINGLE(Month)&lt;ops_start_mo,0,
_xlfn.SINGLE(Month)&gt;=ops_start_mo,
_xlfn.SINGLE(mini_customer_FCST)*mini_take_rate*mini_sales_per_car*POWER(1+inflation_store,QUOTIENT(_xlfn.SINGLE(Month)-ops_start_mo, 12)))</f>
        <v>371.23216957168489</v>
      </c>
      <c r="DK39" s="48" cm="1">
        <f t="array" ref="DK39">_xlfn.IFS(_xlfn.SINGLE(Month)&lt;ops_start_mo,0,
_xlfn.SINGLE(Month)&gt;=ops_start_mo,
_xlfn.SINGLE(mini_customer_FCST)*mini_take_rate*mini_sales_per_car*POWER(1+inflation_store,QUOTIENT(_xlfn.SINGLE(Month)-ops_start_mo, 12)))</f>
        <v>373.08833041954324</v>
      </c>
      <c r="DL39" s="48" cm="1">
        <f t="array" ref="DL39">_xlfn.IFS(_xlfn.SINGLE(Month)&lt;ops_start_mo,0,
_xlfn.SINGLE(Month)&gt;=ops_start_mo,
_xlfn.SINGLE(mini_customer_FCST)*mini_take_rate*mini_sales_per_car*POWER(1+inflation_store,QUOTIENT(_xlfn.SINGLE(Month)-ops_start_mo, 12)))</f>
        <v>374.95377207164097</v>
      </c>
      <c r="DM39" s="48" cm="1">
        <f t="array" ref="DM39">_xlfn.IFS(_xlfn.SINGLE(Month)&lt;ops_start_mo,0,
_xlfn.SINGLE(Month)&gt;=ops_start_mo,
_xlfn.SINGLE(mini_customer_FCST)*mini_take_rate*mini_sales_per_car*POWER(1+inflation_store,QUOTIENT(_xlfn.SINGLE(Month)-ops_start_mo, 12)))</f>
        <v>376.82854093199893</v>
      </c>
      <c r="DN39" s="48" cm="1">
        <f t="array" ref="DN39">_xlfn.IFS(_xlfn.SINGLE(Month)&lt;ops_start_mo,0,
_xlfn.SINGLE(Month)&gt;=ops_start_mo,
_xlfn.SINGLE(mini_customer_FCST)*mini_take_rate*mini_sales_per_car*POWER(1+inflation_store,QUOTIENT(_xlfn.SINGLE(Month)-ops_start_mo, 12)))</f>
        <v>378.71268363665899</v>
      </c>
      <c r="DO39" s="48" cm="1">
        <f t="array" ref="DO39">_xlfn.IFS(_xlfn.SINGLE(Month)&lt;ops_start_mo,0,
_xlfn.SINGLE(Month)&gt;=ops_start_mo,
_xlfn.SINGLE(mini_customer_FCST)*mini_take_rate*mini_sales_per_car*POWER(1+inflation_store,QUOTIENT(_xlfn.SINGLE(Month)-ops_start_mo, 12)))</f>
        <v>380.60624705484219</v>
      </c>
      <c r="DP39" s="48" cm="1">
        <f t="array" ref="DP39">_xlfn.IFS(_xlfn.SINGLE(Month)&lt;ops_start_mo,0,
_xlfn.SINGLE(Month)&gt;=ops_start_mo,
_xlfn.SINGLE(mini_customer_FCST)*mini_take_rate*mini_sales_per_car*POWER(1+inflation_store,QUOTIENT(_xlfn.SINGLE(Month)-ops_start_mo, 12)))</f>
        <v>382.50927829011636</v>
      </c>
      <c r="DQ39" s="48" cm="1">
        <f t="array" ref="DQ39">_xlfn.IFS(_xlfn.SINGLE(Month)&lt;ops_start_mo,0,
_xlfn.SINGLE(Month)&gt;=ops_start_mo,
_xlfn.SINGLE(mini_customer_FCST)*mini_take_rate*mini_sales_per_car*POWER(1+inflation_store,QUOTIENT(_xlfn.SINGLE(Month)-ops_start_mo, 12)))</f>
        <v>384.42182468156682</v>
      </c>
      <c r="DR39" s="48" cm="1">
        <f t="array" ref="DR39">_xlfn.IFS(_xlfn.SINGLE(Month)&lt;ops_start_mo,0,
_xlfn.SINGLE(Month)&gt;=ops_start_mo,
_xlfn.SINGLE(mini_customer_FCST)*mini_take_rate*mini_sales_per_car*POWER(1+inflation_store,QUOTIENT(_xlfn.SINGLE(Month)-ops_start_mo, 12)))</f>
        <v>386.34393380497454</v>
      </c>
      <c r="DS39" s="48" cm="1">
        <f t="array" ref="DS39">_xlfn.IFS(_xlfn.SINGLE(Month)&lt;ops_start_mo,0,
_xlfn.SINGLE(Month)&gt;=ops_start_mo,
_xlfn.SINGLE(mini_customer_FCST)*mini_take_rate*mini_sales_per_car*POWER(1+inflation_store,QUOTIENT(_xlfn.SINGLE(Month)-ops_start_mo, 12)))</f>
        <v>388.2756534739994</v>
      </c>
    </row>
    <row r="40" spans="1:123" x14ac:dyDescent="0.35">
      <c r="A40" s="49"/>
      <c r="B40" s="49" t="s">
        <v>125</v>
      </c>
      <c r="C40" s="48" cm="1">
        <f t="array" ref="C40">_xlfn.IFS(_xlfn.SINGLE(Month)&lt;ops_start_mo,0,
_xlfn.SINGLE(Month)&gt;=ops_start_mo,
_xlfn.SINGLE(reg_customer_FCST)*reg_take_rate*reg_sales_per_car*POWER(1+inflation_store,QUOTIENT(_xlfn.SINGLE(Month)-ops_start_mo, 12)))</f>
        <v>0</v>
      </c>
      <c r="D40" s="48" cm="1">
        <f t="array" ref="D40">_xlfn.IFS(_xlfn.SINGLE(Month)&lt;ops_start_mo,0,
_xlfn.SINGLE(Month)&gt;=ops_start_mo,
_xlfn.SINGLE(reg_customer_FCST)*reg_take_rate*reg_sales_per_car*POWER(1+inflation_store,QUOTIENT(_xlfn.SINGLE(Month)-ops_start_mo, 12)))</f>
        <v>0</v>
      </c>
      <c r="E40" s="48" cm="1">
        <f t="array" ref="E40">_xlfn.IFS(_xlfn.SINGLE(Month)&lt;ops_start_mo,0,
_xlfn.SINGLE(Month)&gt;=ops_start_mo,
_xlfn.SINGLE(reg_customer_FCST)*reg_take_rate*reg_sales_per_car*POWER(1+inflation_store,QUOTIENT(_xlfn.SINGLE(Month)-ops_start_mo, 12)))</f>
        <v>0</v>
      </c>
      <c r="F40" s="48" cm="1">
        <f t="array" ref="F40">_xlfn.IFS(_xlfn.SINGLE(Month)&lt;ops_start_mo,0,
_xlfn.SINGLE(Month)&gt;=ops_start_mo,
_xlfn.SINGLE(reg_customer_FCST)*reg_take_rate*reg_sales_per_car*POWER(1+inflation_store,QUOTIENT(_xlfn.SINGLE(Month)-ops_start_mo, 12)))</f>
        <v>0</v>
      </c>
      <c r="G40" s="48" cm="1">
        <f t="array" ref="G40">_xlfn.IFS(_xlfn.SINGLE(Month)&lt;ops_start_mo,0,
_xlfn.SINGLE(Month)&gt;=ops_start_mo,
_xlfn.SINGLE(reg_customer_FCST)*reg_take_rate*reg_sales_per_car*POWER(1+inflation_store,QUOTIENT(_xlfn.SINGLE(Month)-ops_start_mo, 12)))</f>
        <v>0</v>
      </c>
      <c r="H40" s="48" cm="1">
        <f t="array" ref="H40">_xlfn.IFS(_xlfn.SINGLE(Month)&lt;ops_start_mo,0,
_xlfn.SINGLE(Month)&gt;=ops_start_mo,
_xlfn.SINGLE(reg_customer_FCST)*reg_take_rate*reg_sales_per_car*POWER(1+inflation_store,QUOTIENT(_xlfn.SINGLE(Month)-ops_start_mo, 12)))</f>
        <v>0</v>
      </c>
      <c r="I40" s="48" cm="1">
        <f t="array" ref="I40">_xlfn.IFS(_xlfn.SINGLE(Month)&lt;ops_start_mo,0,
_xlfn.SINGLE(Month)&gt;=ops_start_mo,
_xlfn.SINGLE(reg_customer_FCST)*reg_take_rate*reg_sales_per_car*POWER(1+inflation_store,QUOTIENT(_xlfn.SINGLE(Month)-ops_start_mo, 12)))</f>
        <v>0</v>
      </c>
      <c r="J40" s="48" cm="1">
        <f t="array" ref="J40">_xlfn.IFS(_xlfn.SINGLE(Month)&lt;ops_start_mo,0,
_xlfn.SINGLE(Month)&gt;=ops_start_mo,
_xlfn.SINGLE(reg_customer_FCST)*reg_take_rate*reg_sales_per_car*POWER(1+inflation_store,QUOTIENT(_xlfn.SINGLE(Month)-ops_start_mo, 12)))</f>
        <v>0</v>
      </c>
      <c r="K40" s="48" cm="1">
        <f t="array" ref="K40">_xlfn.IFS(_xlfn.SINGLE(Month)&lt;ops_start_mo,0,
_xlfn.SINGLE(Month)&gt;=ops_start_mo,
_xlfn.SINGLE(reg_customer_FCST)*reg_take_rate*reg_sales_per_car*POWER(1+inflation_store,QUOTIENT(_xlfn.SINGLE(Month)-ops_start_mo, 12)))</f>
        <v>0</v>
      </c>
      <c r="L40" s="48" cm="1">
        <f t="array" ref="L40">_xlfn.IFS(_xlfn.SINGLE(Month)&lt;ops_start_mo,0,
_xlfn.SINGLE(Month)&gt;=ops_start_mo,
_xlfn.SINGLE(reg_customer_FCST)*reg_take_rate*reg_sales_per_car*POWER(1+inflation_store,QUOTIENT(_xlfn.SINGLE(Month)-ops_start_mo, 12)))</f>
        <v>0</v>
      </c>
      <c r="M40" s="48" cm="1">
        <f t="array" ref="M40">_xlfn.IFS(_xlfn.SINGLE(Month)&lt;ops_start_mo,0,
_xlfn.SINGLE(Month)&gt;=ops_start_mo,
_xlfn.SINGLE(reg_customer_FCST)*reg_take_rate*reg_sales_per_car*POWER(1+inflation_store,QUOTIENT(_xlfn.SINGLE(Month)-ops_start_mo, 12)))</f>
        <v>0</v>
      </c>
      <c r="N40" s="48" cm="1">
        <f t="array" ref="N40">_xlfn.IFS(_xlfn.SINGLE(Month)&lt;ops_start_mo,0,
_xlfn.SINGLE(Month)&gt;=ops_start_mo,
_xlfn.SINGLE(reg_customer_FCST)*reg_take_rate*reg_sales_per_car*POWER(1+inflation_store,QUOTIENT(_xlfn.SINGLE(Month)-ops_start_mo, 12)))</f>
        <v>0</v>
      </c>
      <c r="O40" s="48" cm="1">
        <f t="array" ref="O40">_xlfn.IFS(_xlfn.SINGLE(Month)&lt;ops_start_mo,0,
_xlfn.SINGLE(Month)&gt;=ops_start_mo,
_xlfn.SINGLE(reg_customer_FCST)*reg_take_rate*reg_sales_per_car*POWER(1+inflation_store,QUOTIENT(_xlfn.SINGLE(Month)-ops_start_mo, 12)))</f>
        <v>0</v>
      </c>
      <c r="P40" s="48" cm="1">
        <f t="array" ref="P40">_xlfn.IFS(_xlfn.SINGLE(Month)&lt;ops_start_mo,0,
_xlfn.SINGLE(Month)&gt;=ops_start_mo,
_xlfn.SINGLE(reg_customer_FCST)*reg_take_rate*reg_sales_per_car*POWER(1+inflation_store,QUOTIENT(_xlfn.SINGLE(Month)-ops_start_mo, 12)))</f>
        <v>2000</v>
      </c>
      <c r="Q40" s="48" cm="1">
        <f t="array" ref="Q40">_xlfn.IFS(_xlfn.SINGLE(Month)&lt;ops_start_mo,0,
_xlfn.SINGLE(Month)&gt;=ops_start_mo,
_xlfn.SINGLE(reg_customer_FCST)*reg_take_rate*reg_sales_per_car*POWER(1+inflation_store,QUOTIENT(_xlfn.SINGLE(Month)-ops_start_mo, 12)))</f>
        <v>2060</v>
      </c>
      <c r="R40" s="48" cm="1">
        <f t="array" ref="R40">_xlfn.IFS(_xlfn.SINGLE(Month)&lt;ops_start_mo,0,
_xlfn.SINGLE(Month)&gt;=ops_start_mo,
_xlfn.SINGLE(reg_customer_FCST)*reg_take_rate*reg_sales_per_car*POWER(1+inflation_store,QUOTIENT(_xlfn.SINGLE(Month)-ops_start_mo, 12)))</f>
        <v>2121.7999999999997</v>
      </c>
      <c r="S40" s="48" cm="1">
        <f t="array" ref="S40">_xlfn.IFS(_xlfn.SINGLE(Month)&lt;ops_start_mo,0,
_xlfn.SINGLE(Month)&gt;=ops_start_mo,
_xlfn.SINGLE(reg_customer_FCST)*reg_take_rate*reg_sales_per_car*POWER(1+inflation_store,QUOTIENT(_xlfn.SINGLE(Month)-ops_start_mo, 12)))</f>
        <v>2185.4540000000002</v>
      </c>
      <c r="T40" s="48" cm="1">
        <f t="array" ref="T40">_xlfn.IFS(_xlfn.SINGLE(Month)&lt;ops_start_mo,0,
_xlfn.SINGLE(Month)&gt;=ops_start_mo,
_xlfn.SINGLE(reg_customer_FCST)*reg_take_rate*reg_sales_per_car*POWER(1+inflation_store,QUOTIENT(_xlfn.SINGLE(Month)-ops_start_mo, 12)))</f>
        <v>2251.0176199999996</v>
      </c>
      <c r="U40" s="48" cm="1">
        <f t="array" ref="U40">_xlfn.IFS(_xlfn.SINGLE(Month)&lt;ops_start_mo,0,
_xlfn.SINGLE(Month)&gt;=ops_start_mo,
_xlfn.SINGLE(reg_customer_FCST)*reg_take_rate*reg_sales_per_car*POWER(1+inflation_store,QUOTIENT(_xlfn.SINGLE(Month)-ops_start_mo, 12)))</f>
        <v>2318.5481485999999</v>
      </c>
      <c r="V40" s="48" cm="1">
        <f t="array" ref="V40">_xlfn.IFS(_xlfn.SINGLE(Month)&lt;ops_start_mo,0,
_xlfn.SINGLE(Month)&gt;=ops_start_mo,
_xlfn.SINGLE(reg_customer_FCST)*reg_take_rate*reg_sales_per_car*POWER(1+inflation_store,QUOTIENT(_xlfn.SINGLE(Month)-ops_start_mo, 12)))</f>
        <v>2388.1045930580003</v>
      </c>
      <c r="W40" s="48" cm="1">
        <f t="array" ref="W40">_xlfn.IFS(_xlfn.SINGLE(Month)&lt;ops_start_mo,0,
_xlfn.SINGLE(Month)&gt;=ops_start_mo,
_xlfn.SINGLE(reg_customer_FCST)*reg_take_rate*reg_sales_per_car*POWER(1+inflation_store,QUOTIENT(_xlfn.SINGLE(Month)-ops_start_mo, 12)))</f>
        <v>2459.74773084974</v>
      </c>
      <c r="X40" s="48" cm="1">
        <f t="array" ref="X40">_xlfn.IFS(_xlfn.SINGLE(Month)&lt;ops_start_mo,0,
_xlfn.SINGLE(Month)&gt;=ops_start_mo,
_xlfn.SINGLE(reg_customer_FCST)*reg_take_rate*reg_sales_per_car*POWER(1+inflation_store,QUOTIENT(_xlfn.SINGLE(Month)-ops_start_mo, 12)))</f>
        <v>2533.5401627752317</v>
      </c>
      <c r="Y40" s="48" cm="1">
        <f t="array" ref="Y40">_xlfn.IFS(_xlfn.SINGLE(Month)&lt;ops_start_mo,0,
_xlfn.SINGLE(Month)&gt;=ops_start_mo,
_xlfn.SINGLE(reg_customer_FCST)*reg_take_rate*reg_sales_per_car*POWER(1+inflation_store,QUOTIENT(_xlfn.SINGLE(Month)-ops_start_mo, 12)))</f>
        <v>2609.5463676584895</v>
      </c>
      <c r="Z40" s="48" cm="1">
        <f t="array" ref="Z40">_xlfn.IFS(_xlfn.SINGLE(Month)&lt;ops_start_mo,0,
_xlfn.SINGLE(Month)&gt;=ops_start_mo,
_xlfn.SINGLE(reg_customer_FCST)*reg_take_rate*reg_sales_per_car*POWER(1+inflation_store,QUOTIENT(_xlfn.SINGLE(Month)-ops_start_mo, 12)))</f>
        <v>2687.8327586882438</v>
      </c>
      <c r="AA40" s="48" cm="1">
        <f t="array" ref="AA40">_xlfn.IFS(_xlfn.SINGLE(Month)&lt;ops_start_mo,0,
_xlfn.SINGLE(Month)&gt;=ops_start_mo,
_xlfn.SINGLE(reg_customer_FCST)*reg_take_rate*reg_sales_per_car*POWER(1+inflation_store,QUOTIENT(_xlfn.SINGLE(Month)-ops_start_mo, 12)))</f>
        <v>2768.4677414488915</v>
      </c>
      <c r="AB40" s="48" cm="1">
        <f t="array" ref="AB40">_xlfn.IFS(_xlfn.SINGLE(Month)&lt;ops_start_mo,0,
_xlfn.SINGLE(Month)&gt;=ops_start_mo,
_xlfn.SINGLE(reg_customer_FCST)*reg_take_rate*reg_sales_per_car*POWER(1+inflation_store,QUOTIENT(_xlfn.SINGLE(Month)-ops_start_mo, 12)))</f>
        <v>2937.0674269031283</v>
      </c>
      <c r="AC40" s="48" cm="1">
        <f t="array" ref="AC40">_xlfn.IFS(_xlfn.SINGLE(Month)&lt;ops_start_mo,0,
_xlfn.SINGLE(Month)&gt;=ops_start_mo,
_xlfn.SINGLE(reg_customer_FCST)*reg_take_rate*reg_sales_per_car*POWER(1+inflation_store,QUOTIENT(_xlfn.SINGLE(Month)-ops_start_mo, 12)))</f>
        <v>3025.1794497102219</v>
      </c>
      <c r="AD40" s="48" cm="1">
        <f t="array" ref="AD40">_xlfn.IFS(_xlfn.SINGLE(Month)&lt;ops_start_mo,0,
_xlfn.SINGLE(Month)&gt;=ops_start_mo,
_xlfn.SINGLE(reg_customer_FCST)*reg_take_rate*reg_sales_per_car*POWER(1+inflation_store,QUOTIENT(_xlfn.SINGLE(Month)-ops_start_mo, 12)))</f>
        <v>3115.9348332015288</v>
      </c>
      <c r="AE40" s="48" cm="1">
        <f t="array" ref="AE40">_xlfn.IFS(_xlfn.SINGLE(Month)&lt;ops_start_mo,0,
_xlfn.SINGLE(Month)&gt;=ops_start_mo,
_xlfn.SINGLE(reg_customer_FCST)*reg_take_rate*reg_sales_per_car*POWER(1+inflation_store,QUOTIENT(_xlfn.SINGLE(Month)-ops_start_mo, 12)))</f>
        <v>3209.4128781975751</v>
      </c>
      <c r="AF40" s="48" cm="1">
        <f t="array" ref="AF40">_xlfn.IFS(_xlfn.SINGLE(Month)&lt;ops_start_mo,0,
_xlfn.SINGLE(Month)&gt;=ops_start_mo,
_xlfn.SINGLE(reg_customer_FCST)*reg_take_rate*reg_sales_per_car*POWER(1+inflation_store,QUOTIENT(_xlfn.SINGLE(Month)-ops_start_mo, 12)))</f>
        <v>3305.6952645435022</v>
      </c>
      <c r="AG40" s="48" cm="1">
        <f t="array" ref="AG40">_xlfn.IFS(_xlfn.SINGLE(Month)&lt;ops_start_mo,0,
_xlfn.SINGLE(Month)&gt;=ops_start_mo,
_xlfn.SINGLE(reg_customer_FCST)*reg_take_rate*reg_sales_per_car*POWER(1+inflation_store,QUOTIENT(_xlfn.SINGLE(Month)-ops_start_mo, 12)))</f>
        <v>3404.8661224798066</v>
      </c>
      <c r="AH40" s="48" cm="1">
        <f t="array" ref="AH40">_xlfn.IFS(_xlfn.SINGLE(Month)&lt;ops_start_mo,0,
_xlfn.SINGLE(Month)&gt;=ops_start_mo,
_xlfn.SINGLE(reg_customer_FCST)*reg_take_rate*reg_sales_per_car*POWER(1+inflation_store,QUOTIENT(_xlfn.SINGLE(Month)-ops_start_mo, 12)))</f>
        <v>3507.0121061542013</v>
      </c>
      <c r="AI40" s="48" cm="1">
        <f t="array" ref="AI40">_xlfn.IFS(_xlfn.SINGLE(Month)&lt;ops_start_mo,0,
_xlfn.SINGLE(Month)&gt;=ops_start_mo,
_xlfn.SINGLE(reg_customer_FCST)*reg_take_rate*reg_sales_per_car*POWER(1+inflation_store,QUOTIENT(_xlfn.SINGLE(Month)-ops_start_mo, 12)))</f>
        <v>3612.2224693388266</v>
      </c>
      <c r="AJ40" s="48" cm="1">
        <f t="array" ref="AJ40">_xlfn.IFS(_xlfn.SINGLE(Month)&lt;ops_start_mo,0,
_xlfn.SINGLE(Month)&gt;=ops_start_mo,
_xlfn.SINGLE(reg_customer_FCST)*reg_take_rate*reg_sales_per_car*POWER(1+inflation_store,QUOTIENT(_xlfn.SINGLE(Month)-ops_start_mo, 12)))</f>
        <v>3720.5891434189916</v>
      </c>
      <c r="AK40" s="48" cm="1">
        <f t="array" ref="AK40">_xlfn.IFS(_xlfn.SINGLE(Month)&lt;ops_start_mo,0,
_xlfn.SINGLE(Month)&gt;=ops_start_mo,
_xlfn.SINGLE(reg_customer_FCST)*reg_take_rate*reg_sales_per_car*POWER(1+inflation_store,QUOTIENT(_xlfn.SINGLE(Month)-ops_start_mo, 12)))</f>
        <v>3832.2068177215606</v>
      </c>
      <c r="AL40" s="48" cm="1">
        <f t="array" ref="AL40">_xlfn.IFS(_xlfn.SINGLE(Month)&lt;ops_start_mo,0,
_xlfn.SINGLE(Month)&gt;=ops_start_mo,
_xlfn.SINGLE(reg_customer_FCST)*reg_take_rate*reg_sales_per_car*POWER(1+inflation_store,QUOTIENT(_xlfn.SINGLE(Month)-ops_start_mo, 12)))</f>
        <v>3947.1730222532083</v>
      </c>
      <c r="AM40" s="48" cm="1">
        <f t="array" ref="AM40">_xlfn.IFS(_xlfn.SINGLE(Month)&lt;ops_start_mo,0,
_xlfn.SINGLE(Month)&gt;=ops_start_mo,
_xlfn.SINGLE(reg_customer_FCST)*reg_take_rate*reg_sales_per_car*POWER(1+inflation_store,QUOTIENT(_xlfn.SINGLE(Month)-ops_start_mo, 12)))</f>
        <v>4065.5882129208044</v>
      </c>
      <c r="AN40" s="48" cm="1">
        <f t="array" ref="AN40">_xlfn.IFS(_xlfn.SINGLE(Month)&lt;ops_start_mo,0,
_xlfn.SINGLE(Month)&gt;=ops_start_mo,
_xlfn.SINGLE(reg_customer_FCST)*reg_take_rate*reg_sales_per_car*POWER(1+inflation_store,QUOTIENT(_xlfn.SINGLE(Month)-ops_start_mo, 12)))</f>
        <v>4313.1825350876807</v>
      </c>
      <c r="AO40" s="48" cm="1">
        <f t="array" ref="AO40">_xlfn.IFS(_xlfn.SINGLE(Month)&lt;ops_start_mo,0,
_xlfn.SINGLE(Month)&gt;=ops_start_mo,
_xlfn.SINGLE(reg_customer_FCST)*reg_take_rate*reg_sales_per_car*POWER(1+inflation_store,QUOTIENT(_xlfn.SINGLE(Month)-ops_start_mo, 12)))</f>
        <v>4442.578011140311</v>
      </c>
      <c r="AP40" s="48" cm="1">
        <f t="array" ref="AP40">_xlfn.IFS(_xlfn.SINGLE(Month)&lt;ops_start_mo,0,
_xlfn.SINGLE(Month)&gt;=ops_start_mo,
_xlfn.SINGLE(reg_customer_FCST)*reg_take_rate*reg_sales_per_car*POWER(1+inflation_store,QUOTIENT(_xlfn.SINGLE(Month)-ops_start_mo, 12)))</f>
        <v>4575.8553514745208</v>
      </c>
      <c r="AQ40" s="48" cm="1">
        <f t="array" ref="AQ40">_xlfn.IFS(_xlfn.SINGLE(Month)&lt;ops_start_mo,0,
_xlfn.SINGLE(Month)&gt;=ops_start_mo,
_xlfn.SINGLE(reg_customer_FCST)*reg_take_rate*reg_sales_per_car*POWER(1+inflation_store,QUOTIENT(_xlfn.SINGLE(Month)-ops_start_mo, 12)))</f>
        <v>4713.1310120187554</v>
      </c>
      <c r="AR40" s="48" cm="1">
        <f t="array" ref="AR40">_xlfn.IFS(_xlfn.SINGLE(Month)&lt;ops_start_mo,0,
_xlfn.SINGLE(Month)&gt;=ops_start_mo,
_xlfn.SINGLE(reg_customer_FCST)*reg_take_rate*reg_sales_per_car*POWER(1+inflation_store,QUOTIENT(_xlfn.SINGLE(Month)-ops_start_mo, 12)))</f>
        <v>4854.5249423793193</v>
      </c>
      <c r="AS40" s="48" cm="1">
        <f t="array" ref="AS40">_xlfn.IFS(_xlfn.SINGLE(Month)&lt;ops_start_mo,0,
_xlfn.SINGLE(Month)&gt;=ops_start_mo,
_xlfn.SINGLE(reg_customer_FCST)*reg_take_rate*reg_sales_per_car*POWER(1+inflation_store,QUOTIENT(_xlfn.SINGLE(Month)-ops_start_mo, 12)))</f>
        <v>5000.1606906506977</v>
      </c>
      <c r="AT40" s="48" cm="1">
        <f t="array" ref="AT40">_xlfn.IFS(_xlfn.SINGLE(Month)&lt;ops_start_mo,0,
_xlfn.SINGLE(Month)&gt;=ops_start_mo,
_xlfn.SINGLE(reg_customer_FCST)*reg_take_rate*reg_sales_per_car*POWER(1+inflation_store,QUOTIENT(_xlfn.SINGLE(Month)-ops_start_mo, 12)))</f>
        <v>5150.16551137022</v>
      </c>
      <c r="AU40" s="48" cm="1">
        <f t="array" ref="AU40">_xlfn.IFS(_xlfn.SINGLE(Month)&lt;ops_start_mo,0,
_xlfn.SINGLE(Month)&gt;=ops_start_mo,
_xlfn.SINGLE(reg_customer_FCST)*reg_take_rate*reg_sales_per_car*POWER(1+inflation_store,QUOTIENT(_xlfn.SINGLE(Month)-ops_start_mo, 12)))</f>
        <v>5304.670476711326</v>
      </c>
      <c r="AV40" s="48" cm="1">
        <f t="array" ref="AV40">_xlfn.IFS(_xlfn.SINGLE(Month)&lt;ops_start_mo,0,
_xlfn.SINGLE(Month)&gt;=ops_start_mo,
_xlfn.SINGLE(reg_customer_FCST)*reg_take_rate*reg_sales_per_car*POWER(1+inflation_store,QUOTIENT(_xlfn.SINGLE(Month)-ops_start_mo, 12)))</f>
        <v>5463.8105910126642</v>
      </c>
      <c r="AW40" s="48" cm="1">
        <f t="array" ref="AW40">_xlfn.IFS(_xlfn.SINGLE(Month)&lt;ops_start_mo,0,
_xlfn.SINGLE(Month)&gt;=ops_start_mo,
_xlfn.SINGLE(reg_customer_FCST)*reg_take_rate*reg_sales_per_car*POWER(1+inflation_store,QUOTIENT(_xlfn.SINGLE(Month)-ops_start_mo, 12)))</f>
        <v>5627.7249087430446</v>
      </c>
      <c r="AX40" s="48" cm="1">
        <f t="array" ref="AX40">_xlfn.IFS(_xlfn.SINGLE(Month)&lt;ops_start_mo,0,
_xlfn.SINGLE(Month)&gt;=ops_start_mo,
_xlfn.SINGLE(reg_customer_FCST)*reg_take_rate*reg_sales_per_car*POWER(1+inflation_store,QUOTIENT(_xlfn.SINGLE(Month)-ops_start_mo, 12)))</f>
        <v>5796.5566560053358</v>
      </c>
      <c r="AY40" s="48" cm="1">
        <f t="array" ref="AY40">_xlfn.IFS(_xlfn.SINGLE(Month)&lt;ops_start_mo,0,
_xlfn.SINGLE(Month)&gt;=ops_start_mo,
_xlfn.SINGLE(reg_customer_FCST)*reg_take_rate*reg_sales_per_car*POWER(1+inflation_store,QUOTIENT(_xlfn.SINGLE(Month)-ops_start_mo, 12)))</f>
        <v>5970.4533556854958</v>
      </c>
      <c r="AZ40" s="48" cm="1">
        <f t="array" ref="AZ40">_xlfn.IFS(_xlfn.SINGLE(Month)&lt;ops_start_mo,0,
_xlfn.SINGLE(Month)&gt;=ops_start_mo,
_xlfn.SINGLE(reg_customer_FCST)*reg_take_rate*reg_sales_per_car*POWER(1+inflation_store,QUOTIENT(_xlfn.SINGLE(Month)-ops_start_mo, 12)))</f>
        <v>6334.0539650467426</v>
      </c>
      <c r="BA40" s="48" cm="1">
        <f t="array" ref="BA40">_xlfn.IFS(_xlfn.SINGLE(Month)&lt;ops_start_mo,0,
_xlfn.SINGLE(Month)&gt;=ops_start_mo,
_xlfn.SINGLE(reg_customer_FCST)*reg_take_rate*reg_sales_per_car*POWER(1+inflation_store,QUOTIENT(_xlfn.SINGLE(Month)-ops_start_mo, 12)))</f>
        <v>6524.0755839981439</v>
      </c>
      <c r="BB40" s="48" cm="1">
        <f t="array" ref="BB40">_xlfn.IFS(_xlfn.SINGLE(Month)&lt;ops_start_mo,0,
_xlfn.SINGLE(Month)&gt;=ops_start_mo,
_xlfn.SINGLE(reg_customer_FCST)*reg_take_rate*reg_sales_per_car*POWER(1+inflation_store,QUOTIENT(_xlfn.SINGLE(Month)-ops_start_mo, 12)))</f>
        <v>6719.7978515180903</v>
      </c>
      <c r="BC40" s="48" cm="1">
        <f t="array" ref="BC40">_xlfn.IFS(_xlfn.SINGLE(Month)&lt;ops_start_mo,0,
_xlfn.SINGLE(Month)&gt;=ops_start_mo,
_xlfn.SINGLE(reg_customer_FCST)*reg_take_rate*reg_sales_per_car*POWER(1+inflation_store,QUOTIENT(_xlfn.SINGLE(Month)-ops_start_mo, 12)))</f>
        <v>6921.3917870636324</v>
      </c>
      <c r="BD40" s="48" cm="1">
        <f t="array" ref="BD40">_xlfn.IFS(_xlfn.SINGLE(Month)&lt;ops_start_mo,0,
_xlfn.SINGLE(Month)&gt;=ops_start_mo,
_xlfn.SINGLE(reg_customer_FCST)*reg_take_rate*reg_sales_per_car*POWER(1+inflation_store,QUOTIENT(_xlfn.SINGLE(Month)-ops_start_mo, 12)))</f>
        <v>7129.0335406755412</v>
      </c>
      <c r="BE40" s="48" cm="1">
        <f t="array" ref="BE40">_xlfn.IFS(_xlfn.SINGLE(Month)&lt;ops_start_mo,0,
_xlfn.SINGLE(Month)&gt;=ops_start_mo,
_xlfn.SINGLE(reg_customer_FCST)*reg_take_rate*reg_sales_per_car*POWER(1+inflation_store,QUOTIENT(_xlfn.SINGLE(Month)-ops_start_mo, 12)))</f>
        <v>7342.9045468958066</v>
      </c>
      <c r="BF40" s="48" cm="1">
        <f t="array" ref="BF40">_xlfn.IFS(_xlfn.SINGLE(Month)&lt;ops_start_mo,0,
_xlfn.SINGLE(Month)&gt;=ops_start_mo,
_xlfn.SINGLE(reg_customer_FCST)*reg_take_rate*reg_sales_per_car*POWER(1+inflation_store,QUOTIENT(_xlfn.SINGLE(Month)-ops_start_mo, 12)))</f>
        <v>7563.1916833026808</v>
      </c>
      <c r="BG40" s="48" cm="1">
        <f t="array" ref="BG40">_xlfn.IFS(_xlfn.SINGLE(Month)&lt;ops_start_mo,0,
_xlfn.SINGLE(Month)&gt;=ops_start_mo,
_xlfn.SINGLE(reg_customer_FCST)*reg_take_rate*reg_sales_per_car*POWER(1+inflation_store,QUOTIENT(_xlfn.SINGLE(Month)-ops_start_mo, 12)))</f>
        <v>7790.087433801762</v>
      </c>
      <c r="BH40" s="48" cm="1">
        <f t="array" ref="BH40">_xlfn.IFS(_xlfn.SINGLE(Month)&lt;ops_start_mo,0,
_xlfn.SINGLE(Month)&gt;=ops_start_mo,
_xlfn.SINGLE(reg_customer_FCST)*reg_take_rate*reg_sales_per_car*POWER(1+inflation_store,QUOTIENT(_xlfn.SINGLE(Month)-ops_start_mo, 12)))</f>
        <v>8023.7900568158138</v>
      </c>
      <c r="BI40" s="48" cm="1">
        <f t="array" ref="BI40">_xlfn.IFS(_xlfn.SINGLE(Month)&lt;ops_start_mo,0,
_xlfn.SINGLE(Month)&gt;=ops_start_mo,
_xlfn.SINGLE(reg_customer_FCST)*reg_take_rate*reg_sales_per_car*POWER(1+inflation_store,QUOTIENT(_xlfn.SINGLE(Month)-ops_start_mo, 12)))</f>
        <v>8264.5037585202881</v>
      </c>
      <c r="BJ40" s="48" cm="1">
        <f t="array" ref="BJ40">_xlfn.IFS(_xlfn.SINGLE(Month)&lt;ops_start_mo,0,
_xlfn.SINGLE(Month)&gt;=ops_start_mo,
_xlfn.SINGLE(reg_customer_FCST)*reg_take_rate*reg_sales_per_car*POWER(1+inflation_store,QUOTIENT(_xlfn.SINGLE(Month)-ops_start_mo, 12)))</f>
        <v>8512.4388712758955</v>
      </c>
      <c r="BK40" s="48" cm="1">
        <f t="array" ref="BK40">_xlfn.IFS(_xlfn.SINGLE(Month)&lt;ops_start_mo,0,
_xlfn.SINGLE(Month)&gt;=ops_start_mo,
_xlfn.SINGLE(reg_customer_FCST)*reg_take_rate*reg_sales_per_car*POWER(1+inflation_store,QUOTIENT(_xlfn.SINGLE(Month)-ops_start_mo, 12)))</f>
        <v>8767.8120374141745</v>
      </c>
      <c r="BL40" s="48" cm="1">
        <f t="array" ref="BL40">_xlfn.IFS(_xlfn.SINGLE(Month)&lt;ops_start_mo,0,
_xlfn.SINGLE(Month)&gt;=ops_start_mo,
_xlfn.SINGLE(reg_customer_FCST)*reg_take_rate*reg_sales_per_car*POWER(1+inflation_store,QUOTIENT(_xlfn.SINGLE(Month)-ops_start_mo, 12)))</f>
        <v>9301.7717904926958</v>
      </c>
      <c r="BM40" s="48" cm="1">
        <f t="array" ref="BM40">_xlfn.IFS(_xlfn.SINGLE(Month)&lt;ops_start_mo,0,
_xlfn.SINGLE(Month)&gt;=ops_start_mo,
_xlfn.SINGLE(reg_customer_FCST)*reg_take_rate*reg_sales_per_car*POWER(1+inflation_store,QUOTIENT(_xlfn.SINGLE(Month)-ops_start_mo, 12)))</f>
        <v>9580.8249442074757</v>
      </c>
      <c r="BN40" s="48" cm="1">
        <f t="array" ref="BN40">_xlfn.IFS(_xlfn.SINGLE(Month)&lt;ops_start_mo,0,
_xlfn.SINGLE(Month)&gt;=ops_start_mo,
_xlfn.SINGLE(reg_customer_FCST)*reg_take_rate*reg_sales_per_car*POWER(1+inflation_store,QUOTIENT(_xlfn.SINGLE(Month)-ops_start_mo, 12)))</f>
        <v>9868.2496925337</v>
      </c>
      <c r="BO40" s="48" cm="1">
        <f t="array" ref="BO40">_xlfn.IFS(_xlfn.SINGLE(Month)&lt;ops_start_mo,0,
_xlfn.SINGLE(Month)&gt;=ops_start_mo,
_xlfn.SINGLE(reg_customer_FCST)*reg_take_rate*reg_sales_per_car*POWER(1+inflation_store,QUOTIENT(_xlfn.SINGLE(Month)-ops_start_mo, 12)))</f>
        <v>10164.297183309711</v>
      </c>
      <c r="BP40" s="48" cm="1">
        <f t="array" ref="BP40">_xlfn.IFS(_xlfn.SINGLE(Month)&lt;ops_start_mo,0,
_xlfn.SINGLE(Month)&gt;=ops_start_mo,
_xlfn.SINGLE(reg_customer_FCST)*reg_take_rate*reg_sales_per_car*POWER(1+inflation_store,QUOTIENT(_xlfn.SINGLE(Month)-ops_start_mo, 12)))</f>
        <v>10469.226098809002</v>
      </c>
      <c r="BQ40" s="48" cm="1">
        <f t="array" ref="BQ40">_xlfn.IFS(_xlfn.SINGLE(Month)&lt;ops_start_mo,0,
_xlfn.SINGLE(Month)&gt;=ops_start_mo,
_xlfn.SINGLE(reg_customer_FCST)*reg_take_rate*reg_sales_per_car*POWER(1+inflation_store,QUOTIENT(_xlfn.SINGLE(Month)-ops_start_mo, 12)))</f>
        <v>10783.30288177327</v>
      </c>
      <c r="BR40" s="48" cm="1">
        <f t="array" ref="BR40">_xlfn.IFS(_xlfn.SINGLE(Month)&lt;ops_start_mo,0,
_xlfn.SINGLE(Month)&gt;=ops_start_mo,
_xlfn.SINGLE(reg_customer_FCST)*reg_take_rate*reg_sales_per_car*POWER(1+inflation_store,QUOTIENT(_xlfn.SINGLE(Month)-ops_start_mo, 12)))</f>
        <v>11106.801968226469</v>
      </c>
      <c r="BS40" s="48" cm="1">
        <f t="array" ref="BS40">_xlfn.IFS(_xlfn.SINGLE(Month)&lt;ops_start_mo,0,
_xlfn.SINGLE(Month)&gt;=ops_start_mo,
_xlfn.SINGLE(reg_customer_FCST)*reg_take_rate*reg_sales_per_car*POWER(1+inflation_store,QUOTIENT(_xlfn.SINGLE(Month)-ops_start_mo, 12)))</f>
        <v>11440.006027273268</v>
      </c>
      <c r="BT40" s="48" cm="1">
        <f t="array" ref="BT40">_xlfn.IFS(_xlfn.SINGLE(Month)&lt;ops_start_mo,0,
_xlfn.SINGLE(Month)&gt;=ops_start_mo,
_xlfn.SINGLE(reg_customer_FCST)*reg_take_rate*reg_sales_per_car*POWER(1+inflation_store,QUOTIENT(_xlfn.SINGLE(Month)-ops_start_mo, 12)))</f>
        <v>11783.206208091462</v>
      </c>
      <c r="BU40" s="48" cm="1">
        <f t="array" ref="BU40">_xlfn.IFS(_xlfn.SINGLE(Month)&lt;ops_start_mo,0,
_xlfn.SINGLE(Month)&gt;=ops_start_mo,
_xlfn.SINGLE(reg_customer_FCST)*reg_take_rate*reg_sales_per_car*POWER(1+inflation_store,QUOTIENT(_xlfn.SINGLE(Month)-ops_start_mo, 12)))</f>
        <v>12136.702394334205</v>
      </c>
      <c r="BV40" s="48" cm="1">
        <f t="array" ref="BV40">_xlfn.IFS(_xlfn.SINGLE(Month)&lt;ops_start_mo,0,
_xlfn.SINGLE(Month)&gt;=ops_start_mo,
_xlfn.SINGLE(reg_customer_FCST)*reg_take_rate*reg_sales_per_car*POWER(1+inflation_store,QUOTIENT(_xlfn.SINGLE(Month)-ops_start_mo, 12)))</f>
        <v>12500.803466164232</v>
      </c>
      <c r="BW40" s="48" cm="1">
        <f t="array" ref="BW40">_xlfn.IFS(_xlfn.SINGLE(Month)&lt;ops_start_mo,0,
_xlfn.SINGLE(Month)&gt;=ops_start_mo,
_xlfn.SINGLE(reg_customer_FCST)*reg_take_rate*reg_sales_per_car*POWER(1+inflation_store,QUOTIENT(_xlfn.SINGLE(Month)-ops_start_mo, 12)))</f>
        <v>12875.827570149158</v>
      </c>
      <c r="BX40" s="48" cm="1">
        <f t="array" ref="BX40">_xlfn.IFS(_xlfn.SINGLE(Month)&lt;ops_start_mo,0,
_xlfn.SINGLE(Month)&gt;=ops_start_mo,
_xlfn.SINGLE(reg_customer_FCST)*reg_take_rate*reg_sales_per_car*POWER(1+inflation_store,QUOTIENT(_xlfn.SINGLE(Month)-ops_start_mo, 12)))</f>
        <v>13328.4129092399</v>
      </c>
      <c r="BY40" s="48" cm="1">
        <f t="array" ref="BY40">_xlfn.IFS(_xlfn.SINGLE(Month)&lt;ops_start_mo,0,
_xlfn.SINGLE(Month)&gt;=ops_start_mo,
_xlfn.SINGLE(reg_customer_FCST)*reg_take_rate*reg_sales_per_car*POWER(1+inflation_store,QUOTIENT(_xlfn.SINGLE(Month)-ops_start_mo, 12)))</f>
        <v>13395.054973786097</v>
      </c>
      <c r="BZ40" s="48" cm="1">
        <f t="array" ref="BZ40">_xlfn.IFS(_xlfn.SINGLE(Month)&lt;ops_start_mo,0,
_xlfn.SINGLE(Month)&gt;=ops_start_mo,
_xlfn.SINGLE(reg_customer_FCST)*reg_take_rate*reg_sales_per_car*POWER(1+inflation_store,QUOTIENT(_xlfn.SINGLE(Month)-ops_start_mo, 12)))</f>
        <v>13462.030248655026</v>
      </c>
      <c r="CA40" s="48" cm="1">
        <f t="array" ref="CA40">_xlfn.IFS(_xlfn.SINGLE(Month)&lt;ops_start_mo,0,
_xlfn.SINGLE(Month)&gt;=ops_start_mo,
_xlfn.SINGLE(reg_customer_FCST)*reg_take_rate*reg_sales_per_car*POWER(1+inflation_store,QUOTIENT(_xlfn.SINGLE(Month)-ops_start_mo, 12)))</f>
        <v>13529.340399898298</v>
      </c>
      <c r="CB40" s="48" cm="1">
        <f t="array" ref="CB40">_xlfn.IFS(_xlfn.SINGLE(Month)&lt;ops_start_mo,0,
_xlfn.SINGLE(Month)&gt;=ops_start_mo,
_xlfn.SINGLE(reg_customer_FCST)*reg_take_rate*reg_sales_per_car*POWER(1+inflation_store,QUOTIENT(_xlfn.SINGLE(Month)-ops_start_mo, 12)))</f>
        <v>13596.987101897785</v>
      </c>
      <c r="CC40" s="48" cm="1">
        <f t="array" ref="CC40">_xlfn.IFS(_xlfn.SINGLE(Month)&lt;ops_start_mo,0,
_xlfn.SINGLE(Month)&gt;=ops_start_mo,
_xlfn.SINGLE(reg_customer_FCST)*reg_take_rate*reg_sales_per_car*POWER(1+inflation_store,QUOTIENT(_xlfn.SINGLE(Month)-ops_start_mo, 12)))</f>
        <v>13664.972037407275</v>
      </c>
      <c r="CD40" s="48" cm="1">
        <f t="array" ref="CD40">_xlfn.IFS(_xlfn.SINGLE(Month)&lt;ops_start_mo,0,
_xlfn.SINGLE(Month)&gt;=ops_start_mo,
_xlfn.SINGLE(reg_customer_FCST)*reg_take_rate*reg_sales_per_car*POWER(1+inflation_store,QUOTIENT(_xlfn.SINGLE(Month)-ops_start_mo, 12)))</f>
        <v>13733.296897594309</v>
      </c>
      <c r="CE40" s="48" cm="1">
        <f t="array" ref="CE40">_xlfn.IFS(_xlfn.SINGLE(Month)&lt;ops_start_mo,0,
_xlfn.SINGLE(Month)&gt;=ops_start_mo,
_xlfn.SINGLE(reg_customer_FCST)*reg_take_rate*reg_sales_per_car*POWER(1+inflation_store,QUOTIENT(_xlfn.SINGLE(Month)-ops_start_mo, 12)))</f>
        <v>13801.963382082278</v>
      </c>
      <c r="CF40" s="48" cm="1">
        <f t="array" ref="CF40">_xlfn.IFS(_xlfn.SINGLE(Month)&lt;ops_start_mo,0,
_xlfn.SINGLE(Month)&gt;=ops_start_mo,
_xlfn.SINGLE(reg_customer_FCST)*reg_take_rate*reg_sales_per_car*POWER(1+inflation_store,QUOTIENT(_xlfn.SINGLE(Month)-ops_start_mo, 12)))</f>
        <v>13870.97319899269</v>
      </c>
      <c r="CG40" s="48" cm="1">
        <f t="array" ref="CG40">_xlfn.IFS(_xlfn.SINGLE(Month)&lt;ops_start_mo,0,
_xlfn.SINGLE(Month)&gt;=ops_start_mo,
_xlfn.SINGLE(reg_customer_FCST)*reg_take_rate*reg_sales_per_car*POWER(1+inflation_store,QUOTIENT(_xlfn.SINGLE(Month)-ops_start_mo, 12)))</f>
        <v>13940.328064987651</v>
      </c>
      <c r="CH40" s="48" cm="1">
        <f t="array" ref="CH40">_xlfn.IFS(_xlfn.SINGLE(Month)&lt;ops_start_mo,0,
_xlfn.SINGLE(Month)&gt;=ops_start_mo,
_xlfn.SINGLE(reg_customer_FCST)*reg_take_rate*reg_sales_per_car*POWER(1+inflation_store,QUOTIENT(_xlfn.SINGLE(Month)-ops_start_mo, 12)))</f>
        <v>14010.029705312587</v>
      </c>
      <c r="CI40" s="48" cm="1">
        <f t="array" ref="CI40">_xlfn.IFS(_xlfn.SINGLE(Month)&lt;ops_start_mo,0,
_xlfn.SINGLE(Month)&gt;=ops_start_mo,
_xlfn.SINGLE(reg_customer_FCST)*reg_take_rate*reg_sales_per_car*POWER(1+inflation_store,QUOTIENT(_xlfn.SINGLE(Month)-ops_start_mo, 12)))</f>
        <v>14080.079853839145</v>
      </c>
      <c r="CJ40" s="48" cm="1">
        <f t="array" ref="CJ40">_xlfn.IFS(_xlfn.SINGLE(Month)&lt;ops_start_mo,0,
_xlfn.SINGLE(Month)&gt;=ops_start_mo,
_xlfn.SINGLE(reg_customer_FCST)*reg_take_rate*reg_sales_per_car*POWER(1+inflation_store,QUOTIENT(_xlfn.SINGLE(Month)-ops_start_mo, 12)))</f>
        <v>14574.99466070159</v>
      </c>
      <c r="CK40" s="48" cm="1">
        <f t="array" ref="CK40">_xlfn.IFS(_xlfn.SINGLE(Month)&lt;ops_start_mo,0,
_xlfn.SINGLE(Month)&gt;=ops_start_mo,
_xlfn.SINGLE(reg_customer_FCST)*reg_take_rate*reg_sales_per_car*POWER(1+inflation_store,QUOTIENT(_xlfn.SINGLE(Month)-ops_start_mo, 12)))</f>
        <v>14647.869634005096</v>
      </c>
      <c r="CL40" s="48" cm="1">
        <f t="array" ref="CL40">_xlfn.IFS(_xlfn.SINGLE(Month)&lt;ops_start_mo,0,
_xlfn.SINGLE(Month)&gt;=ops_start_mo,
_xlfn.SINGLE(reg_customer_FCST)*reg_take_rate*reg_sales_per_car*POWER(1+inflation_store,QUOTIENT(_xlfn.SINGLE(Month)-ops_start_mo, 12)))</f>
        <v>14721.108982175121</v>
      </c>
      <c r="CM40" s="48" cm="1">
        <f t="array" ref="CM40">_xlfn.IFS(_xlfn.SINGLE(Month)&lt;ops_start_mo,0,
_xlfn.SINGLE(Month)&gt;=ops_start_mo,
_xlfn.SINGLE(reg_customer_FCST)*reg_take_rate*reg_sales_per_car*POWER(1+inflation_store,QUOTIENT(_xlfn.SINGLE(Month)-ops_start_mo, 12)))</f>
        <v>14794.714527085991</v>
      </c>
      <c r="CN40" s="48" cm="1">
        <f t="array" ref="CN40">_xlfn.IFS(_xlfn.SINGLE(Month)&lt;ops_start_mo,0,
_xlfn.SINGLE(Month)&gt;=ops_start_mo,
_xlfn.SINGLE(reg_customer_FCST)*reg_take_rate*reg_sales_per_car*POWER(1+inflation_store,QUOTIENT(_xlfn.SINGLE(Month)-ops_start_mo, 12)))</f>
        <v>14868.688099721423</v>
      </c>
      <c r="CO40" s="48" cm="1">
        <f t="array" ref="CO40">_xlfn.IFS(_xlfn.SINGLE(Month)&lt;ops_start_mo,0,
_xlfn.SINGLE(Month)&gt;=ops_start_mo,
_xlfn.SINGLE(reg_customer_FCST)*reg_take_rate*reg_sales_per_car*POWER(1+inflation_store,QUOTIENT(_xlfn.SINGLE(Month)-ops_start_mo, 12)))</f>
        <v>14943.031540220025</v>
      </c>
      <c r="CP40" s="48" cm="1">
        <f t="array" ref="CP40">_xlfn.IFS(_xlfn.SINGLE(Month)&lt;ops_start_mo,0,
_xlfn.SINGLE(Month)&gt;=ops_start_mo,
_xlfn.SINGLE(reg_customer_FCST)*reg_take_rate*reg_sales_per_car*POWER(1+inflation_store,QUOTIENT(_xlfn.SINGLE(Month)-ops_start_mo, 12)))</f>
        <v>15017.746697921124</v>
      </c>
      <c r="CQ40" s="48" cm="1">
        <f t="array" ref="CQ40">_xlfn.IFS(_xlfn.SINGLE(Month)&lt;ops_start_mo,0,
_xlfn.SINGLE(Month)&gt;=ops_start_mo,
_xlfn.SINGLE(reg_customer_FCST)*reg_take_rate*reg_sales_per_car*POWER(1+inflation_store,QUOTIENT(_xlfn.SINGLE(Month)-ops_start_mo, 12)))</f>
        <v>15092.835431410727</v>
      </c>
      <c r="CR40" s="48" cm="1">
        <f t="array" ref="CR40">_xlfn.IFS(_xlfn.SINGLE(Month)&lt;ops_start_mo,0,
_xlfn.SINGLE(Month)&gt;=ops_start_mo,
_xlfn.SINGLE(reg_customer_FCST)*reg_take_rate*reg_sales_per_car*POWER(1+inflation_store,QUOTIENT(_xlfn.SINGLE(Month)-ops_start_mo, 12)))</f>
        <v>15168.299608567777</v>
      </c>
      <c r="CS40" s="48" cm="1">
        <f t="array" ref="CS40">_xlfn.IFS(_xlfn.SINGLE(Month)&lt;ops_start_mo,0,
_xlfn.SINGLE(Month)&gt;=ops_start_mo,
_xlfn.SINGLE(reg_customer_FCST)*reg_take_rate*reg_sales_per_car*POWER(1+inflation_store,QUOTIENT(_xlfn.SINGLE(Month)-ops_start_mo, 12)))</f>
        <v>15244.141106610616</v>
      </c>
      <c r="CT40" s="48" cm="1">
        <f t="array" ref="CT40">_xlfn.IFS(_xlfn.SINGLE(Month)&lt;ops_start_mo,0,
_xlfn.SINGLE(Month)&gt;=ops_start_mo,
_xlfn.SINGLE(reg_customer_FCST)*reg_take_rate*reg_sales_per_car*POWER(1+inflation_store,QUOTIENT(_xlfn.SINGLE(Month)-ops_start_mo, 12)))</f>
        <v>15320.361812143663</v>
      </c>
      <c r="CU40" s="48" cm="1">
        <f t="array" ref="CU40">_xlfn.IFS(_xlfn.SINGLE(Month)&lt;ops_start_mo,0,
_xlfn.SINGLE(Month)&gt;=ops_start_mo,
_xlfn.SINGLE(reg_customer_FCST)*reg_take_rate*reg_sales_per_car*POWER(1+inflation_store,QUOTIENT(_xlfn.SINGLE(Month)-ops_start_mo, 12)))</f>
        <v>15396.963621204382</v>
      </c>
      <c r="CV40" s="48" cm="1">
        <f t="array" ref="CV40">_xlfn.IFS(_xlfn.SINGLE(Month)&lt;ops_start_mo,0,
_xlfn.SINGLE(Month)&gt;=ops_start_mo,
_xlfn.SINGLE(reg_customer_FCST)*reg_take_rate*reg_sales_per_car*POWER(1+inflation_store,QUOTIENT(_xlfn.SINGLE(Month)-ops_start_mo, 12)))</f>
        <v>15938.166892489713</v>
      </c>
      <c r="CW40" s="48" cm="1">
        <f t="array" ref="CW40">_xlfn.IFS(_xlfn.SINGLE(Month)&lt;ops_start_mo,0,
_xlfn.SINGLE(Month)&gt;=ops_start_mo,
_xlfn.SINGLE(reg_customer_FCST)*reg_take_rate*reg_sales_per_car*POWER(1+inflation_store,QUOTIENT(_xlfn.SINGLE(Month)-ops_start_mo, 12)))</f>
        <v>16017.857726952163</v>
      </c>
      <c r="CX40" s="48" cm="1">
        <f t="array" ref="CX40">_xlfn.IFS(_xlfn.SINGLE(Month)&lt;ops_start_mo,0,
_xlfn.SINGLE(Month)&gt;=ops_start_mo,
_xlfn.SINGLE(reg_customer_FCST)*reg_take_rate*reg_sales_per_car*POWER(1+inflation_store,QUOTIENT(_xlfn.SINGLE(Month)-ops_start_mo, 12)))</f>
        <v>16097.947015586918</v>
      </c>
      <c r="CY40" s="48" cm="1">
        <f t="array" ref="CY40">_xlfn.IFS(_xlfn.SINGLE(Month)&lt;ops_start_mo,0,
_xlfn.SINGLE(Month)&gt;=ops_start_mo,
_xlfn.SINGLE(reg_customer_FCST)*reg_take_rate*reg_sales_per_car*POWER(1+inflation_store,QUOTIENT(_xlfn.SINGLE(Month)-ops_start_mo, 12)))</f>
        <v>16178.436750664852</v>
      </c>
      <c r="CZ40" s="48" cm="1">
        <f t="array" ref="CZ40">_xlfn.IFS(_xlfn.SINGLE(Month)&lt;ops_start_mo,0,
_xlfn.SINGLE(Month)&gt;=ops_start_mo,
_xlfn.SINGLE(reg_customer_FCST)*reg_take_rate*reg_sales_per_car*POWER(1+inflation_store,QUOTIENT(_xlfn.SINGLE(Month)-ops_start_mo, 12)))</f>
        <v>16259.328934418174</v>
      </c>
      <c r="DA40" s="48" cm="1">
        <f t="array" ref="DA40">_xlfn.IFS(_xlfn.SINGLE(Month)&lt;ops_start_mo,0,
_xlfn.SINGLE(Month)&gt;=ops_start_mo,
_xlfn.SINGLE(reg_customer_FCST)*reg_take_rate*reg_sales_per_car*POWER(1+inflation_store,QUOTIENT(_xlfn.SINGLE(Month)-ops_start_mo, 12)))</f>
        <v>16340.625579090263</v>
      </c>
      <c r="DB40" s="48" cm="1">
        <f t="array" ref="DB40">_xlfn.IFS(_xlfn.SINGLE(Month)&lt;ops_start_mo,0,
_xlfn.SINGLE(Month)&gt;=ops_start_mo,
_xlfn.SINGLE(reg_customer_FCST)*reg_take_rate*reg_sales_per_car*POWER(1+inflation_store,QUOTIENT(_xlfn.SINGLE(Month)-ops_start_mo, 12)))</f>
        <v>16422.328706985707</v>
      </c>
      <c r="DC40" s="48" cm="1">
        <f t="array" ref="DC40">_xlfn.IFS(_xlfn.SINGLE(Month)&lt;ops_start_mo,0,
_xlfn.SINGLE(Month)&gt;=ops_start_mo,
_xlfn.SINGLE(reg_customer_FCST)*reg_take_rate*reg_sales_per_car*POWER(1+inflation_store,QUOTIENT(_xlfn.SINGLE(Month)-ops_start_mo, 12)))</f>
        <v>16504.440350520636</v>
      </c>
      <c r="DD40" s="48" cm="1">
        <f t="array" ref="DD40">_xlfn.IFS(_xlfn.SINGLE(Month)&lt;ops_start_mo,0,
_xlfn.SINGLE(Month)&gt;=ops_start_mo,
_xlfn.SINGLE(reg_customer_FCST)*reg_take_rate*reg_sales_per_car*POWER(1+inflation_store,QUOTIENT(_xlfn.SINGLE(Month)-ops_start_mo, 12)))</f>
        <v>16586.962552273235</v>
      </c>
      <c r="DE40" s="48" cm="1">
        <f t="array" ref="DE40">_xlfn.IFS(_xlfn.SINGLE(Month)&lt;ops_start_mo,0,
_xlfn.SINGLE(Month)&gt;=ops_start_mo,
_xlfn.SINGLE(reg_customer_FCST)*reg_take_rate*reg_sales_per_car*POWER(1+inflation_store,QUOTIENT(_xlfn.SINGLE(Month)-ops_start_mo, 12)))</f>
        <v>16669.897365034598</v>
      </c>
      <c r="DF40" s="48" cm="1">
        <f t="array" ref="DF40">_xlfn.IFS(_xlfn.SINGLE(Month)&lt;ops_start_mo,0,
_xlfn.SINGLE(Month)&gt;=ops_start_mo,
_xlfn.SINGLE(reg_customer_FCST)*reg_take_rate*reg_sales_per_car*POWER(1+inflation_store,QUOTIENT(_xlfn.SINGLE(Month)-ops_start_mo, 12)))</f>
        <v>16753.246851859774</v>
      </c>
      <c r="DG40" s="48" cm="1">
        <f t="array" ref="DG40">_xlfn.IFS(_xlfn.SINGLE(Month)&lt;ops_start_mo,0,
_xlfn.SINGLE(Month)&gt;=ops_start_mo,
_xlfn.SINGLE(reg_customer_FCST)*reg_take_rate*reg_sales_per_car*POWER(1+inflation_store,QUOTIENT(_xlfn.SINGLE(Month)-ops_start_mo, 12)))</f>
        <v>16837.013086119066</v>
      </c>
      <c r="DH40" s="48" cm="1">
        <f t="array" ref="DH40">_xlfn.IFS(_xlfn.SINGLE(Month)&lt;ops_start_mo,0,
_xlfn.SINGLE(Month)&gt;=ops_start_mo,
_xlfn.SINGLE(reg_customer_FCST)*reg_take_rate*reg_sales_per_car*POWER(1+inflation_store,QUOTIENT(_xlfn.SINGLE(Month)-ops_start_mo, 12)))</f>
        <v>17428.834096096143</v>
      </c>
      <c r="DI40" s="48" cm="1">
        <f t="array" ref="DI40">_xlfn.IFS(_xlfn.SINGLE(Month)&lt;ops_start_mo,0,
_xlfn.SINGLE(Month)&gt;=ops_start_mo,
_xlfn.SINGLE(reg_customer_FCST)*reg_take_rate*reg_sales_per_car*POWER(1+inflation_store,QUOTIENT(_xlfn.SINGLE(Month)-ops_start_mo, 12)))</f>
        <v>17515.978266576625</v>
      </c>
      <c r="DJ40" s="48" cm="1">
        <f t="array" ref="DJ40">_xlfn.IFS(_xlfn.SINGLE(Month)&lt;ops_start_mo,0,
_xlfn.SINGLE(Month)&gt;=ops_start_mo,
_xlfn.SINGLE(reg_customer_FCST)*reg_take_rate*reg_sales_per_car*POWER(1+inflation_store,QUOTIENT(_xlfn.SINGLE(Month)-ops_start_mo, 12)))</f>
        <v>17603.558157909505</v>
      </c>
      <c r="DK40" s="48" cm="1">
        <f t="array" ref="DK40">_xlfn.IFS(_xlfn.SINGLE(Month)&lt;ops_start_mo,0,
_xlfn.SINGLE(Month)&gt;=ops_start_mo,
_xlfn.SINGLE(reg_customer_FCST)*reg_take_rate*reg_sales_per_car*POWER(1+inflation_store,QUOTIENT(_xlfn.SINGLE(Month)-ops_start_mo, 12)))</f>
        <v>17691.575948699054</v>
      </c>
      <c r="DL40" s="48" cm="1">
        <f t="array" ref="DL40">_xlfn.IFS(_xlfn.SINGLE(Month)&lt;ops_start_mo,0,
_xlfn.SINGLE(Month)&gt;=ops_start_mo,
_xlfn.SINGLE(reg_customer_FCST)*reg_take_rate*reg_sales_per_car*POWER(1+inflation_store,QUOTIENT(_xlfn.SINGLE(Month)-ops_start_mo, 12)))</f>
        <v>17780.033828442542</v>
      </c>
      <c r="DM40" s="48" cm="1">
        <f t="array" ref="DM40">_xlfn.IFS(_xlfn.SINGLE(Month)&lt;ops_start_mo,0,
_xlfn.SINGLE(Month)&gt;=ops_start_mo,
_xlfn.SINGLE(reg_customer_FCST)*reg_take_rate*reg_sales_per_car*POWER(1+inflation_store,QUOTIENT(_xlfn.SINGLE(Month)-ops_start_mo, 12)))</f>
        <v>17868.933997584754</v>
      </c>
      <c r="DN40" s="48" cm="1">
        <f t="array" ref="DN40">_xlfn.IFS(_xlfn.SINGLE(Month)&lt;ops_start_mo,0,
_xlfn.SINGLE(Month)&gt;=ops_start_mo,
_xlfn.SINGLE(reg_customer_FCST)*reg_take_rate*reg_sales_per_car*POWER(1+inflation_store,QUOTIENT(_xlfn.SINGLE(Month)-ops_start_mo, 12)))</f>
        <v>17958.278667572678</v>
      </c>
      <c r="DO40" s="48" cm="1">
        <f t="array" ref="DO40">_xlfn.IFS(_xlfn.SINGLE(Month)&lt;ops_start_mo,0,
_xlfn.SINGLE(Month)&gt;=ops_start_mo,
_xlfn.SINGLE(reg_customer_FCST)*reg_take_rate*reg_sales_per_car*POWER(1+inflation_store,QUOTIENT(_xlfn.SINGLE(Month)-ops_start_mo, 12)))</f>
        <v>18048.070060910533</v>
      </c>
      <c r="DP40" s="48" cm="1">
        <f t="array" ref="DP40">_xlfn.IFS(_xlfn.SINGLE(Month)&lt;ops_start_mo,0,
_xlfn.SINGLE(Month)&gt;=ops_start_mo,
_xlfn.SINGLE(reg_customer_FCST)*reg_take_rate*reg_sales_per_car*POWER(1+inflation_store,QUOTIENT(_xlfn.SINGLE(Month)-ops_start_mo, 12)))</f>
        <v>18138.310411215083</v>
      </c>
      <c r="DQ40" s="48" cm="1">
        <f t="array" ref="DQ40">_xlfn.IFS(_xlfn.SINGLE(Month)&lt;ops_start_mo,0,
_xlfn.SINGLE(Month)&gt;=ops_start_mo,
_xlfn.SINGLE(reg_customer_FCST)*reg_take_rate*reg_sales_per_car*POWER(1+inflation_store,QUOTIENT(_xlfn.SINGLE(Month)-ops_start_mo, 12)))</f>
        <v>18229.001963271159</v>
      </c>
      <c r="DR40" s="48" cm="1">
        <f t="array" ref="DR40">_xlfn.IFS(_xlfn.SINGLE(Month)&lt;ops_start_mo,0,
_xlfn.SINGLE(Month)&gt;=ops_start_mo,
_xlfn.SINGLE(reg_customer_FCST)*reg_take_rate*reg_sales_per_car*POWER(1+inflation_store,QUOTIENT(_xlfn.SINGLE(Month)-ops_start_mo, 12)))</f>
        <v>18320.146973087507</v>
      </c>
      <c r="DS40" s="48" cm="1">
        <f t="array" ref="DS40">_xlfn.IFS(_xlfn.SINGLE(Month)&lt;ops_start_mo,0,
_xlfn.SINGLE(Month)&gt;=ops_start_mo,
_xlfn.SINGLE(reg_customer_FCST)*reg_take_rate*reg_sales_per_car*POWER(1+inflation_store,QUOTIENT(_xlfn.SINGLE(Month)-ops_start_mo, 12)))</f>
        <v>18411.747707952942</v>
      </c>
    </row>
    <row r="41" spans="1:123" x14ac:dyDescent="0.35">
      <c r="A41" s="49"/>
      <c r="B41" s="49" t="s">
        <v>126</v>
      </c>
      <c r="C41" s="48" cm="1">
        <f t="array" ref="C41">_xlfn.IFS(_xlfn.SINGLE(Month)&lt;ops_start_mo,0,
_xlfn.SINGLE(Month)&gt;=ops_start_mo,
_xlfn.SINGLE(prem_customer_FCST)*prem_take_rate*prem_sales_per_car*POWER(1+inflation_store,QUOTIENT(_xlfn.SINGLE(Month)-ops_start_mo, 12)))</f>
        <v>0</v>
      </c>
      <c r="D41" s="48" cm="1">
        <f t="array" ref="D41">_xlfn.IFS(_xlfn.SINGLE(Month)&lt;ops_start_mo,0,
_xlfn.SINGLE(Month)&gt;=ops_start_mo,
_xlfn.SINGLE(prem_customer_FCST)*prem_take_rate*prem_sales_per_car*POWER(1+inflation_store,QUOTIENT(_xlfn.SINGLE(Month)-ops_start_mo, 12)))</f>
        <v>0</v>
      </c>
      <c r="E41" s="48" cm="1">
        <f t="array" ref="E41">_xlfn.IFS(_xlfn.SINGLE(Month)&lt;ops_start_mo,0,
_xlfn.SINGLE(Month)&gt;=ops_start_mo,
_xlfn.SINGLE(prem_customer_FCST)*prem_take_rate*prem_sales_per_car*POWER(1+inflation_store,QUOTIENT(_xlfn.SINGLE(Month)-ops_start_mo, 12)))</f>
        <v>0</v>
      </c>
      <c r="F41" s="48" cm="1">
        <f t="array" ref="F41">_xlfn.IFS(_xlfn.SINGLE(Month)&lt;ops_start_mo,0,
_xlfn.SINGLE(Month)&gt;=ops_start_mo,
_xlfn.SINGLE(prem_customer_FCST)*prem_take_rate*prem_sales_per_car*POWER(1+inflation_store,QUOTIENT(_xlfn.SINGLE(Month)-ops_start_mo, 12)))</f>
        <v>0</v>
      </c>
      <c r="G41" s="48" cm="1">
        <f t="array" ref="G41">_xlfn.IFS(_xlfn.SINGLE(Month)&lt;ops_start_mo,0,
_xlfn.SINGLE(Month)&gt;=ops_start_mo,
_xlfn.SINGLE(prem_customer_FCST)*prem_take_rate*prem_sales_per_car*POWER(1+inflation_store,QUOTIENT(_xlfn.SINGLE(Month)-ops_start_mo, 12)))</f>
        <v>0</v>
      </c>
      <c r="H41" s="48" cm="1">
        <f t="array" ref="H41">_xlfn.IFS(_xlfn.SINGLE(Month)&lt;ops_start_mo,0,
_xlfn.SINGLE(Month)&gt;=ops_start_mo,
_xlfn.SINGLE(prem_customer_FCST)*prem_take_rate*prem_sales_per_car*POWER(1+inflation_store,QUOTIENT(_xlfn.SINGLE(Month)-ops_start_mo, 12)))</f>
        <v>0</v>
      </c>
      <c r="I41" s="48" cm="1">
        <f t="array" ref="I41">_xlfn.IFS(_xlfn.SINGLE(Month)&lt;ops_start_mo,0,
_xlfn.SINGLE(Month)&gt;=ops_start_mo,
_xlfn.SINGLE(prem_customer_FCST)*prem_take_rate*prem_sales_per_car*POWER(1+inflation_store,QUOTIENT(_xlfn.SINGLE(Month)-ops_start_mo, 12)))</f>
        <v>0</v>
      </c>
      <c r="J41" s="48" cm="1">
        <f t="array" ref="J41">_xlfn.IFS(_xlfn.SINGLE(Month)&lt;ops_start_mo,0,
_xlfn.SINGLE(Month)&gt;=ops_start_mo,
_xlfn.SINGLE(prem_customer_FCST)*prem_take_rate*prem_sales_per_car*POWER(1+inflation_store,QUOTIENT(_xlfn.SINGLE(Month)-ops_start_mo, 12)))</f>
        <v>0</v>
      </c>
      <c r="K41" s="48" cm="1">
        <f t="array" ref="K41">_xlfn.IFS(_xlfn.SINGLE(Month)&lt;ops_start_mo,0,
_xlfn.SINGLE(Month)&gt;=ops_start_mo,
_xlfn.SINGLE(prem_customer_FCST)*prem_take_rate*prem_sales_per_car*POWER(1+inflation_store,QUOTIENT(_xlfn.SINGLE(Month)-ops_start_mo, 12)))</f>
        <v>0</v>
      </c>
      <c r="L41" s="48" cm="1">
        <f t="array" ref="L41">_xlfn.IFS(_xlfn.SINGLE(Month)&lt;ops_start_mo,0,
_xlfn.SINGLE(Month)&gt;=ops_start_mo,
_xlfn.SINGLE(prem_customer_FCST)*prem_take_rate*prem_sales_per_car*POWER(1+inflation_store,QUOTIENT(_xlfn.SINGLE(Month)-ops_start_mo, 12)))</f>
        <v>0</v>
      </c>
      <c r="M41" s="48" cm="1">
        <f t="array" ref="M41">_xlfn.IFS(_xlfn.SINGLE(Month)&lt;ops_start_mo,0,
_xlfn.SINGLE(Month)&gt;=ops_start_mo,
_xlfn.SINGLE(prem_customer_FCST)*prem_take_rate*prem_sales_per_car*POWER(1+inflation_store,QUOTIENT(_xlfn.SINGLE(Month)-ops_start_mo, 12)))</f>
        <v>0</v>
      </c>
      <c r="N41" s="48" cm="1">
        <f t="array" ref="N41">_xlfn.IFS(_xlfn.SINGLE(Month)&lt;ops_start_mo,0,
_xlfn.SINGLE(Month)&gt;=ops_start_mo,
_xlfn.SINGLE(prem_customer_FCST)*prem_take_rate*prem_sales_per_car*POWER(1+inflation_store,QUOTIENT(_xlfn.SINGLE(Month)-ops_start_mo, 12)))</f>
        <v>0</v>
      </c>
      <c r="O41" s="48" cm="1">
        <f t="array" ref="O41">_xlfn.IFS(_xlfn.SINGLE(Month)&lt;ops_start_mo,0,
_xlfn.SINGLE(Month)&gt;=ops_start_mo,
_xlfn.SINGLE(prem_customer_FCST)*prem_take_rate*prem_sales_per_car*POWER(1+inflation_store,QUOTIENT(_xlfn.SINGLE(Month)-ops_start_mo, 12)))</f>
        <v>0</v>
      </c>
      <c r="P41" s="48" cm="1">
        <f t="array" ref="P41">_xlfn.IFS(_xlfn.SINGLE(Month)&lt;ops_start_mo,0,
_xlfn.SINGLE(Month)&gt;=ops_start_mo,
_xlfn.SINGLE(prem_customer_FCST)*prem_take_rate*prem_sales_per_car*POWER(1+inflation_store,QUOTIENT(_xlfn.SINGLE(Month)-ops_start_mo, 12)))</f>
        <v>4800</v>
      </c>
      <c r="Q41" s="48" cm="1">
        <f t="array" ref="Q41">_xlfn.IFS(_xlfn.SINGLE(Month)&lt;ops_start_mo,0,
_xlfn.SINGLE(Month)&gt;=ops_start_mo,
_xlfn.SINGLE(prem_customer_FCST)*prem_take_rate*prem_sales_per_car*POWER(1+inflation_store,QUOTIENT(_xlfn.SINGLE(Month)-ops_start_mo, 12)))</f>
        <v>4848.0000000000009</v>
      </c>
      <c r="R41" s="48" cm="1">
        <f t="array" ref="R41">_xlfn.IFS(_xlfn.SINGLE(Month)&lt;ops_start_mo,0,
_xlfn.SINGLE(Month)&gt;=ops_start_mo,
_xlfn.SINGLE(prem_customer_FCST)*prem_take_rate*prem_sales_per_car*POWER(1+inflation_store,QUOTIENT(_xlfn.SINGLE(Month)-ops_start_mo, 12)))</f>
        <v>4896.4800000000005</v>
      </c>
      <c r="S41" s="48" cm="1">
        <f t="array" ref="S41">_xlfn.IFS(_xlfn.SINGLE(Month)&lt;ops_start_mo,0,
_xlfn.SINGLE(Month)&gt;=ops_start_mo,
_xlfn.SINGLE(prem_customer_FCST)*prem_take_rate*prem_sales_per_car*POWER(1+inflation_store,QUOTIENT(_xlfn.SINGLE(Month)-ops_start_mo, 12)))</f>
        <v>4945.4448000000002</v>
      </c>
      <c r="T41" s="48" cm="1">
        <f t="array" ref="T41">_xlfn.IFS(_xlfn.SINGLE(Month)&lt;ops_start_mo,0,
_xlfn.SINGLE(Month)&gt;=ops_start_mo,
_xlfn.SINGLE(prem_customer_FCST)*prem_take_rate*prem_sales_per_car*POWER(1+inflation_store,QUOTIENT(_xlfn.SINGLE(Month)-ops_start_mo, 12)))</f>
        <v>4994.8992479999997</v>
      </c>
      <c r="U41" s="48" cm="1">
        <f t="array" ref="U41">_xlfn.IFS(_xlfn.SINGLE(Month)&lt;ops_start_mo,0,
_xlfn.SINGLE(Month)&gt;=ops_start_mo,
_xlfn.SINGLE(prem_customer_FCST)*prem_take_rate*prem_sales_per_car*POWER(1+inflation_store,QUOTIENT(_xlfn.SINGLE(Month)-ops_start_mo, 12)))</f>
        <v>5044.8482404799997</v>
      </c>
      <c r="V41" s="48" cm="1">
        <f t="array" ref="V41">_xlfn.IFS(_xlfn.SINGLE(Month)&lt;ops_start_mo,0,
_xlfn.SINGLE(Month)&gt;=ops_start_mo,
_xlfn.SINGLE(prem_customer_FCST)*prem_take_rate*prem_sales_per_car*POWER(1+inflation_store,QUOTIENT(_xlfn.SINGLE(Month)-ops_start_mo, 12)))</f>
        <v>5095.2967228848011</v>
      </c>
      <c r="W41" s="48" cm="1">
        <f t="array" ref="W41">_xlfn.IFS(_xlfn.SINGLE(Month)&lt;ops_start_mo,0,
_xlfn.SINGLE(Month)&gt;=ops_start_mo,
_xlfn.SINGLE(prem_customer_FCST)*prem_take_rate*prem_sales_per_car*POWER(1+inflation_store,QUOTIENT(_xlfn.SINGLE(Month)-ops_start_mo, 12)))</f>
        <v>5146.2496901136474</v>
      </c>
      <c r="X41" s="48" cm="1">
        <f t="array" ref="X41">_xlfn.IFS(_xlfn.SINGLE(Month)&lt;ops_start_mo,0,
_xlfn.SINGLE(Month)&gt;=ops_start_mo,
_xlfn.SINGLE(prem_customer_FCST)*prem_take_rate*prem_sales_per_car*POWER(1+inflation_store,QUOTIENT(_xlfn.SINGLE(Month)-ops_start_mo, 12)))</f>
        <v>5197.7121870147857</v>
      </c>
      <c r="Y41" s="48" cm="1">
        <f t="array" ref="Y41">_xlfn.IFS(_xlfn.SINGLE(Month)&lt;ops_start_mo,0,
_xlfn.SINGLE(Month)&gt;=ops_start_mo,
_xlfn.SINGLE(prem_customer_FCST)*prem_take_rate*prem_sales_per_car*POWER(1+inflation_store,QUOTIENT(_xlfn.SINGLE(Month)-ops_start_mo, 12)))</f>
        <v>5249.6893088849338</v>
      </c>
      <c r="Z41" s="48" cm="1">
        <f t="array" ref="Z41">_xlfn.IFS(_xlfn.SINGLE(Month)&lt;ops_start_mo,0,
_xlfn.SINGLE(Month)&gt;=ops_start_mo,
_xlfn.SINGLE(prem_customer_FCST)*prem_take_rate*prem_sales_per_car*POWER(1+inflation_store,QUOTIENT(_xlfn.SINGLE(Month)-ops_start_mo, 12)))</f>
        <v>5302.1862019737828</v>
      </c>
      <c r="AA41" s="48" cm="1">
        <f t="array" ref="AA41">_xlfn.IFS(_xlfn.SINGLE(Month)&lt;ops_start_mo,0,
_xlfn.SINGLE(Month)&gt;=ops_start_mo,
_xlfn.SINGLE(prem_customer_FCST)*prem_take_rate*prem_sales_per_car*POWER(1+inflation_store,QUOTIENT(_xlfn.SINGLE(Month)-ops_start_mo, 12)))</f>
        <v>5355.2080639935202</v>
      </c>
      <c r="AB41" s="48" cm="1">
        <f t="array" ref="AB41">_xlfn.IFS(_xlfn.SINGLE(Month)&lt;ops_start_mo,0,
_xlfn.SINGLE(Month)&gt;=ops_start_mo,
_xlfn.SINGLE(prem_customer_FCST)*prem_take_rate*prem_sales_per_car*POWER(1+inflation_store,QUOTIENT(_xlfn.SINGLE(Month)-ops_start_mo, 12)))</f>
        <v>5571.0229489724588</v>
      </c>
      <c r="AC41" s="48" cm="1">
        <f t="array" ref="AC41">_xlfn.IFS(_xlfn.SINGLE(Month)&lt;ops_start_mo,0,
_xlfn.SINGLE(Month)&gt;=ops_start_mo,
_xlfn.SINGLE(prem_customer_FCST)*prem_take_rate*prem_sales_per_car*POWER(1+inflation_store,QUOTIENT(_xlfn.SINGLE(Month)-ops_start_mo, 12)))</f>
        <v>5626.7331784621829</v>
      </c>
      <c r="AD41" s="48" cm="1">
        <f t="array" ref="AD41">_xlfn.IFS(_xlfn.SINGLE(Month)&lt;ops_start_mo,0,
_xlfn.SINGLE(Month)&gt;=ops_start_mo,
_xlfn.SINGLE(prem_customer_FCST)*prem_take_rate*prem_sales_per_car*POWER(1+inflation_store,QUOTIENT(_xlfn.SINGLE(Month)-ops_start_mo, 12)))</f>
        <v>5683.0005102468067</v>
      </c>
      <c r="AE41" s="48" cm="1">
        <f t="array" ref="AE41">_xlfn.IFS(_xlfn.SINGLE(Month)&lt;ops_start_mo,0,
_xlfn.SINGLE(Month)&gt;=ops_start_mo,
_xlfn.SINGLE(prem_customer_FCST)*prem_take_rate*prem_sales_per_car*POWER(1+inflation_store,QUOTIENT(_xlfn.SINGLE(Month)-ops_start_mo, 12)))</f>
        <v>5739.8305153492729</v>
      </c>
      <c r="AF41" s="48" cm="1">
        <f t="array" ref="AF41">_xlfn.IFS(_xlfn.SINGLE(Month)&lt;ops_start_mo,0,
_xlfn.SINGLE(Month)&gt;=ops_start_mo,
_xlfn.SINGLE(prem_customer_FCST)*prem_take_rate*prem_sales_per_car*POWER(1+inflation_store,QUOTIENT(_xlfn.SINGLE(Month)-ops_start_mo, 12)))</f>
        <v>5797.2288205027671</v>
      </c>
      <c r="AG41" s="48" cm="1">
        <f t="array" ref="AG41">_xlfn.IFS(_xlfn.SINGLE(Month)&lt;ops_start_mo,0,
_xlfn.SINGLE(Month)&gt;=ops_start_mo,
_xlfn.SINGLE(prem_customer_FCST)*prem_take_rate*prem_sales_per_car*POWER(1+inflation_store,QUOTIENT(_xlfn.SINGLE(Month)-ops_start_mo, 12)))</f>
        <v>5855.2011087077944</v>
      </c>
      <c r="AH41" s="48" cm="1">
        <f t="array" ref="AH41">_xlfn.IFS(_xlfn.SINGLE(Month)&lt;ops_start_mo,0,
_xlfn.SINGLE(Month)&gt;=ops_start_mo,
_xlfn.SINGLE(prem_customer_FCST)*prem_take_rate*prem_sales_per_car*POWER(1+inflation_store,QUOTIENT(_xlfn.SINGLE(Month)-ops_start_mo, 12)))</f>
        <v>5913.7531197948738</v>
      </c>
      <c r="AI41" s="48" cm="1">
        <f t="array" ref="AI41">_xlfn.IFS(_xlfn.SINGLE(Month)&lt;ops_start_mo,0,
_xlfn.SINGLE(Month)&gt;=ops_start_mo,
_xlfn.SINGLE(prem_customer_FCST)*prem_take_rate*prem_sales_per_car*POWER(1+inflation_store,QUOTIENT(_xlfn.SINGLE(Month)-ops_start_mo, 12)))</f>
        <v>5972.8906509928211</v>
      </c>
      <c r="AJ41" s="48" cm="1">
        <f t="array" ref="AJ41">_xlfn.IFS(_xlfn.SINGLE(Month)&lt;ops_start_mo,0,
_xlfn.SINGLE(Month)&gt;=ops_start_mo,
_xlfn.SINGLE(prem_customer_FCST)*prem_take_rate*prem_sales_per_car*POWER(1+inflation_store,QUOTIENT(_xlfn.SINGLE(Month)-ops_start_mo, 12)))</f>
        <v>6032.6195575027486</v>
      </c>
      <c r="AK41" s="48" cm="1">
        <f t="array" ref="AK41">_xlfn.IFS(_xlfn.SINGLE(Month)&lt;ops_start_mo,0,
_xlfn.SINGLE(Month)&gt;=ops_start_mo,
_xlfn.SINGLE(prem_customer_FCST)*prem_take_rate*prem_sales_per_car*POWER(1+inflation_store,QUOTIENT(_xlfn.SINGLE(Month)-ops_start_mo, 12)))</f>
        <v>6092.9457530777763</v>
      </c>
      <c r="AL41" s="48" cm="1">
        <f t="array" ref="AL41">_xlfn.IFS(_xlfn.SINGLE(Month)&lt;ops_start_mo,0,
_xlfn.SINGLE(Month)&gt;=ops_start_mo,
_xlfn.SINGLE(prem_customer_FCST)*prem_take_rate*prem_sales_per_car*POWER(1+inflation_store,QUOTIENT(_xlfn.SINGLE(Month)-ops_start_mo, 12)))</f>
        <v>6153.8752106085567</v>
      </c>
      <c r="AM41" s="48" cm="1">
        <f t="array" ref="AM41">_xlfn.IFS(_xlfn.SINGLE(Month)&lt;ops_start_mo,0,
_xlfn.SINGLE(Month)&gt;=ops_start_mo,
_xlfn.SINGLE(prem_customer_FCST)*prem_take_rate*prem_sales_per_car*POWER(1+inflation_store,QUOTIENT(_xlfn.SINGLE(Month)-ops_start_mo, 12)))</f>
        <v>6215.4139627146405</v>
      </c>
      <c r="AN41" s="48" cm="1">
        <f t="array" ref="AN41">_xlfn.IFS(_xlfn.SINGLE(Month)&lt;ops_start_mo,0,
_xlfn.SINGLE(Month)&gt;=ops_start_mo,
_xlfn.SINGLE(prem_customer_FCST)*prem_take_rate*prem_sales_per_car*POWER(1+inflation_store,QUOTIENT(_xlfn.SINGLE(Month)-ops_start_mo, 12)))</f>
        <v>6465.8951454120424</v>
      </c>
      <c r="AO41" s="48" cm="1">
        <f t="array" ref="AO41">_xlfn.IFS(_xlfn.SINGLE(Month)&lt;ops_start_mo,0,
_xlfn.SINGLE(Month)&gt;=ops_start_mo,
_xlfn.SINGLE(prem_customer_FCST)*prem_take_rate*prem_sales_per_car*POWER(1+inflation_store,QUOTIENT(_xlfn.SINGLE(Month)-ops_start_mo, 12)))</f>
        <v>6530.5540968661635</v>
      </c>
      <c r="AP41" s="48" cm="1">
        <f t="array" ref="AP41">_xlfn.IFS(_xlfn.SINGLE(Month)&lt;ops_start_mo,0,
_xlfn.SINGLE(Month)&gt;=ops_start_mo,
_xlfn.SINGLE(prem_customer_FCST)*prem_take_rate*prem_sales_per_car*POWER(1+inflation_store,QUOTIENT(_xlfn.SINGLE(Month)-ops_start_mo, 12)))</f>
        <v>6595.8596378348238</v>
      </c>
      <c r="AQ41" s="48" cm="1">
        <f t="array" ref="AQ41">_xlfn.IFS(_xlfn.SINGLE(Month)&lt;ops_start_mo,0,
_xlfn.SINGLE(Month)&gt;=ops_start_mo,
_xlfn.SINGLE(prem_customer_FCST)*prem_take_rate*prem_sales_per_car*POWER(1+inflation_store,QUOTIENT(_xlfn.SINGLE(Month)-ops_start_mo, 12)))</f>
        <v>6661.8182342131704</v>
      </c>
      <c r="AR41" s="48" cm="1">
        <f t="array" ref="AR41">_xlfn.IFS(_xlfn.SINGLE(Month)&lt;ops_start_mo,0,
_xlfn.SINGLE(Month)&gt;=ops_start_mo,
_xlfn.SINGLE(prem_customer_FCST)*prem_take_rate*prem_sales_per_car*POWER(1+inflation_store,QUOTIENT(_xlfn.SINGLE(Month)-ops_start_mo, 12)))</f>
        <v>6728.4364165553015</v>
      </c>
      <c r="AS41" s="48" cm="1">
        <f t="array" ref="AS41">_xlfn.IFS(_xlfn.SINGLE(Month)&lt;ops_start_mo,0,
_xlfn.SINGLE(Month)&gt;=ops_start_mo,
_xlfn.SINGLE(prem_customer_FCST)*prem_take_rate*prem_sales_per_car*POWER(1+inflation_store,QUOTIENT(_xlfn.SINGLE(Month)-ops_start_mo, 12)))</f>
        <v>6795.7207807208551</v>
      </c>
      <c r="AT41" s="48" cm="1">
        <f t="array" ref="AT41">_xlfn.IFS(_xlfn.SINGLE(Month)&lt;ops_start_mo,0,
_xlfn.SINGLE(Month)&gt;=ops_start_mo,
_xlfn.SINGLE(prem_customer_FCST)*prem_take_rate*prem_sales_per_car*POWER(1+inflation_store,QUOTIENT(_xlfn.SINGLE(Month)-ops_start_mo, 12)))</f>
        <v>6863.6779885280648</v>
      </c>
      <c r="AU41" s="48" cm="1">
        <f t="array" ref="AU41">_xlfn.IFS(_xlfn.SINGLE(Month)&lt;ops_start_mo,0,
_xlfn.SINGLE(Month)&gt;=ops_start_mo,
_xlfn.SINGLE(prem_customer_FCST)*prem_take_rate*prem_sales_per_car*POWER(1+inflation_store,QUOTIENT(_xlfn.SINGLE(Month)-ops_start_mo, 12)))</f>
        <v>6932.3147684133437</v>
      </c>
      <c r="AV41" s="48" cm="1">
        <f t="array" ref="AV41">_xlfn.IFS(_xlfn.SINGLE(Month)&lt;ops_start_mo,0,
_xlfn.SINGLE(Month)&gt;=ops_start_mo,
_xlfn.SINGLE(prem_customer_FCST)*prem_take_rate*prem_sales_per_car*POWER(1+inflation_store,QUOTIENT(_xlfn.SINGLE(Month)-ops_start_mo, 12)))</f>
        <v>7001.6379160974784</v>
      </c>
      <c r="AW41" s="48" cm="1">
        <f t="array" ref="AW41">_xlfn.IFS(_xlfn.SINGLE(Month)&lt;ops_start_mo,0,
_xlfn.SINGLE(Month)&gt;=ops_start_mo,
_xlfn.SINGLE(prem_customer_FCST)*prem_take_rate*prem_sales_per_car*POWER(1+inflation_store,QUOTIENT(_xlfn.SINGLE(Month)-ops_start_mo, 12)))</f>
        <v>7071.6542952584541</v>
      </c>
      <c r="AX41" s="48" cm="1">
        <f t="array" ref="AX41">_xlfn.IFS(_xlfn.SINGLE(Month)&lt;ops_start_mo,0,
_xlfn.SINGLE(Month)&gt;=ops_start_mo,
_xlfn.SINGLE(prem_customer_FCST)*prem_take_rate*prem_sales_per_car*POWER(1+inflation_store,QUOTIENT(_xlfn.SINGLE(Month)-ops_start_mo, 12)))</f>
        <v>7142.370838211039</v>
      </c>
      <c r="AY41" s="48" cm="1">
        <f t="array" ref="AY41">_xlfn.IFS(_xlfn.SINGLE(Month)&lt;ops_start_mo,0,
_xlfn.SINGLE(Month)&gt;=ops_start_mo,
_xlfn.SINGLE(prem_customer_FCST)*prem_take_rate*prem_sales_per_car*POWER(1+inflation_store,QUOTIENT(_xlfn.SINGLE(Month)-ops_start_mo, 12)))</f>
        <v>7213.794546593148</v>
      </c>
      <c r="AZ41" s="48" cm="1">
        <f t="array" ref="AZ41">_xlfn.IFS(_xlfn.SINGLE(Month)&lt;ops_start_mo,0,
_xlfn.SINGLE(Month)&gt;=ops_start_mo,
_xlfn.SINGLE(prem_customer_FCST)*prem_take_rate*prem_sales_per_car*POWER(1+inflation_store,QUOTIENT(_xlfn.SINGLE(Month)-ops_start_mo, 12)))</f>
        <v>7504.5104668208523</v>
      </c>
      <c r="BA41" s="48" cm="1">
        <f t="array" ref="BA41">_xlfn.IFS(_xlfn.SINGLE(Month)&lt;ops_start_mo,0,
_xlfn.SINGLE(Month)&gt;=ops_start_mo,
_xlfn.SINGLE(prem_customer_FCST)*prem_take_rate*prem_sales_per_car*POWER(1+inflation_store,QUOTIENT(_xlfn.SINGLE(Month)-ops_start_mo, 12)))</f>
        <v>7579.5555714890606</v>
      </c>
      <c r="BB41" s="48" cm="1">
        <f t="array" ref="BB41">_xlfn.IFS(_xlfn.SINGLE(Month)&lt;ops_start_mo,0,
_xlfn.SINGLE(Month)&gt;=ops_start_mo,
_xlfn.SINGLE(prem_customer_FCST)*prem_take_rate*prem_sales_per_car*POWER(1+inflation_store,QUOTIENT(_xlfn.SINGLE(Month)-ops_start_mo, 12)))</f>
        <v>7655.3511272039523</v>
      </c>
      <c r="BC41" s="48" cm="1">
        <f t="array" ref="BC41">_xlfn.IFS(_xlfn.SINGLE(Month)&lt;ops_start_mo,0,
_xlfn.SINGLE(Month)&gt;=ops_start_mo,
_xlfn.SINGLE(prem_customer_FCST)*prem_take_rate*prem_sales_per_car*POWER(1+inflation_store,QUOTIENT(_xlfn.SINGLE(Month)-ops_start_mo, 12)))</f>
        <v>7731.9046384759895</v>
      </c>
      <c r="BD41" s="48" cm="1">
        <f t="array" ref="BD41">_xlfn.IFS(_xlfn.SINGLE(Month)&lt;ops_start_mo,0,
_xlfn.SINGLE(Month)&gt;=ops_start_mo,
_xlfn.SINGLE(prem_customer_FCST)*prem_take_rate*prem_sales_per_car*POWER(1+inflation_store,QUOTIENT(_xlfn.SINGLE(Month)-ops_start_mo, 12)))</f>
        <v>7809.2236848607517</v>
      </c>
      <c r="BE41" s="48" cm="1">
        <f t="array" ref="BE41">_xlfn.IFS(_xlfn.SINGLE(Month)&lt;ops_start_mo,0,
_xlfn.SINGLE(Month)&gt;=ops_start_mo,
_xlfn.SINGLE(prem_customer_FCST)*prem_take_rate*prem_sales_per_car*POWER(1+inflation_store,QUOTIENT(_xlfn.SINGLE(Month)-ops_start_mo, 12)))</f>
        <v>7887.3159217093589</v>
      </c>
      <c r="BF41" s="48" cm="1">
        <f t="array" ref="BF41">_xlfn.IFS(_xlfn.SINGLE(Month)&lt;ops_start_mo,0,
_xlfn.SINGLE(Month)&gt;=ops_start_mo,
_xlfn.SINGLE(prem_customer_FCST)*prem_take_rate*prem_sales_per_car*POWER(1+inflation_store,QUOTIENT(_xlfn.SINGLE(Month)-ops_start_mo, 12)))</f>
        <v>7966.1890809264542</v>
      </c>
      <c r="BG41" s="48" cm="1">
        <f t="array" ref="BG41">_xlfn.IFS(_xlfn.SINGLE(Month)&lt;ops_start_mo,0,
_xlfn.SINGLE(Month)&gt;=ops_start_mo,
_xlfn.SINGLE(prem_customer_FCST)*prem_take_rate*prem_sales_per_car*POWER(1+inflation_store,QUOTIENT(_xlfn.SINGLE(Month)-ops_start_mo, 12)))</f>
        <v>8045.8509717357174</v>
      </c>
      <c r="BH41" s="48" cm="1">
        <f t="array" ref="BH41">_xlfn.IFS(_xlfn.SINGLE(Month)&lt;ops_start_mo,0,
_xlfn.SINGLE(Month)&gt;=ops_start_mo,
_xlfn.SINGLE(prem_customer_FCST)*prem_take_rate*prem_sales_per_car*POWER(1+inflation_store,QUOTIENT(_xlfn.SINGLE(Month)-ops_start_mo, 12)))</f>
        <v>8126.3094814530741</v>
      </c>
      <c r="BI41" s="48" cm="1">
        <f t="array" ref="BI41">_xlfn.IFS(_xlfn.SINGLE(Month)&lt;ops_start_mo,0,
_xlfn.SINGLE(Month)&gt;=ops_start_mo,
_xlfn.SINGLE(prem_customer_FCST)*prem_take_rate*prem_sales_per_car*POWER(1+inflation_store,QUOTIENT(_xlfn.SINGLE(Month)-ops_start_mo, 12)))</f>
        <v>8207.5725762676066</v>
      </c>
      <c r="BJ41" s="48" cm="1">
        <f t="array" ref="BJ41">_xlfn.IFS(_xlfn.SINGLE(Month)&lt;ops_start_mo,0,
_xlfn.SINGLE(Month)&gt;=ops_start_mo,
_xlfn.SINGLE(prem_customer_FCST)*prem_take_rate*prem_sales_per_car*POWER(1+inflation_store,QUOTIENT(_xlfn.SINGLE(Month)-ops_start_mo, 12)))</f>
        <v>8289.6483020302821</v>
      </c>
      <c r="BK41" s="48" cm="1">
        <f t="array" ref="BK41">_xlfn.IFS(_xlfn.SINGLE(Month)&lt;ops_start_mo,0,
_xlfn.SINGLE(Month)&gt;=ops_start_mo,
_xlfn.SINGLE(prem_customer_FCST)*prem_take_rate*prem_sales_per_car*POWER(1+inflation_store,QUOTIENT(_xlfn.SINGLE(Month)-ops_start_mo, 12)))</f>
        <v>8372.5447850505843</v>
      </c>
      <c r="BL41" s="48" cm="1">
        <f t="array" ref="BL41">_xlfn.IFS(_xlfn.SINGLE(Month)&lt;ops_start_mo,0,
_xlfn.SINGLE(Month)&gt;=ops_start_mo,
_xlfn.SINGLE(prem_customer_FCST)*prem_take_rate*prem_sales_per_car*POWER(1+inflation_store,QUOTIENT(_xlfn.SINGLE(Month)-ops_start_mo, 12)))</f>
        <v>8709.9583398881241</v>
      </c>
      <c r="BM41" s="48" cm="1">
        <f t="array" ref="BM41">_xlfn.IFS(_xlfn.SINGLE(Month)&lt;ops_start_mo,0,
_xlfn.SINGLE(Month)&gt;=ops_start_mo,
_xlfn.SINGLE(prem_customer_FCST)*prem_take_rate*prem_sales_per_car*POWER(1+inflation_store,QUOTIENT(_xlfn.SINGLE(Month)-ops_start_mo, 12)))</f>
        <v>8797.0579232870059</v>
      </c>
      <c r="BN41" s="48" cm="1">
        <f t="array" ref="BN41">_xlfn.IFS(_xlfn.SINGLE(Month)&lt;ops_start_mo,0,
_xlfn.SINGLE(Month)&gt;=ops_start_mo,
_xlfn.SINGLE(prem_customer_FCST)*prem_take_rate*prem_sales_per_car*POWER(1+inflation_store,QUOTIENT(_xlfn.SINGLE(Month)-ops_start_mo, 12)))</f>
        <v>8885.0285025198755</v>
      </c>
      <c r="BO41" s="48" cm="1">
        <f t="array" ref="BO41">_xlfn.IFS(_xlfn.SINGLE(Month)&lt;ops_start_mo,0,
_xlfn.SINGLE(Month)&gt;=ops_start_mo,
_xlfn.SINGLE(prem_customer_FCST)*prem_take_rate*prem_sales_per_car*POWER(1+inflation_store,QUOTIENT(_xlfn.SINGLE(Month)-ops_start_mo, 12)))</f>
        <v>8973.8787875450744</v>
      </c>
      <c r="BP41" s="48" cm="1">
        <f t="array" ref="BP41">_xlfn.IFS(_xlfn.SINGLE(Month)&lt;ops_start_mo,0,
_xlfn.SINGLE(Month)&gt;=ops_start_mo,
_xlfn.SINGLE(prem_customer_FCST)*prem_take_rate*prem_sales_per_car*POWER(1+inflation_store,QUOTIENT(_xlfn.SINGLE(Month)-ops_start_mo, 12)))</f>
        <v>9063.6175754205233</v>
      </c>
      <c r="BQ41" s="48" cm="1">
        <f t="array" ref="BQ41">_xlfn.IFS(_xlfn.SINGLE(Month)&lt;ops_start_mo,0,
_xlfn.SINGLE(Month)&gt;=ops_start_mo,
_xlfn.SINGLE(prem_customer_FCST)*prem_take_rate*prem_sales_per_car*POWER(1+inflation_store,QUOTIENT(_xlfn.SINGLE(Month)-ops_start_mo, 12)))</f>
        <v>9154.2537511747269</v>
      </c>
      <c r="BR41" s="48" cm="1">
        <f t="array" ref="BR41">_xlfn.IFS(_xlfn.SINGLE(Month)&lt;ops_start_mo,0,
_xlfn.SINGLE(Month)&gt;=ops_start_mo,
_xlfn.SINGLE(prem_customer_FCST)*prem_take_rate*prem_sales_per_car*POWER(1+inflation_store,QUOTIENT(_xlfn.SINGLE(Month)-ops_start_mo, 12)))</f>
        <v>9245.7962886864771</v>
      </c>
      <c r="BS41" s="48" cm="1">
        <f t="array" ref="BS41">_xlfn.IFS(_xlfn.SINGLE(Month)&lt;ops_start_mo,0,
_xlfn.SINGLE(Month)&gt;=ops_start_mo,
_xlfn.SINGLE(prem_customer_FCST)*prem_take_rate*prem_sales_per_car*POWER(1+inflation_store,QUOTIENT(_xlfn.SINGLE(Month)-ops_start_mo, 12)))</f>
        <v>9338.2542515733421</v>
      </c>
      <c r="BT41" s="48" cm="1">
        <f t="array" ref="BT41">_xlfn.IFS(_xlfn.SINGLE(Month)&lt;ops_start_mo,0,
_xlfn.SINGLE(Month)&gt;=ops_start_mo,
_xlfn.SINGLE(prem_customer_FCST)*prem_take_rate*prem_sales_per_car*POWER(1+inflation_store,QUOTIENT(_xlfn.SINGLE(Month)-ops_start_mo, 12)))</f>
        <v>9431.6367940890759</v>
      </c>
      <c r="BU41" s="48" cm="1">
        <f t="array" ref="BU41">_xlfn.IFS(_xlfn.SINGLE(Month)&lt;ops_start_mo,0,
_xlfn.SINGLE(Month)&gt;=ops_start_mo,
_xlfn.SINGLE(prem_customer_FCST)*prem_take_rate*prem_sales_per_car*POWER(1+inflation_store,QUOTIENT(_xlfn.SINGLE(Month)-ops_start_mo, 12)))</f>
        <v>9525.9531620299676</v>
      </c>
      <c r="BV41" s="48" cm="1">
        <f t="array" ref="BV41">_xlfn.IFS(_xlfn.SINGLE(Month)&lt;ops_start_mo,0,
_xlfn.SINGLE(Month)&gt;=ops_start_mo,
_xlfn.SINGLE(prem_customer_FCST)*prem_take_rate*prem_sales_per_car*POWER(1+inflation_store,QUOTIENT(_xlfn.SINGLE(Month)-ops_start_mo, 12)))</f>
        <v>9621.2126936502682</v>
      </c>
      <c r="BW41" s="48" cm="1">
        <f t="array" ref="BW41">_xlfn.IFS(_xlfn.SINGLE(Month)&lt;ops_start_mo,0,
_xlfn.SINGLE(Month)&gt;=ops_start_mo,
_xlfn.SINGLE(prem_customer_FCST)*prem_take_rate*prem_sales_per_car*POWER(1+inflation_store,QUOTIENT(_xlfn.SINGLE(Month)-ops_start_mo, 12)))</f>
        <v>9717.424820586768</v>
      </c>
      <c r="BX41" s="48" cm="1">
        <f t="array" ref="BX41">_xlfn.IFS(_xlfn.SINGLE(Month)&lt;ops_start_mo,0,
_xlfn.SINGLE(Month)&gt;=ops_start_mo,
_xlfn.SINGLE(prem_customer_FCST)*prem_take_rate*prem_sales_per_car*POWER(1+inflation_store,QUOTIENT(_xlfn.SINGLE(Month)-ops_start_mo, 12)))</f>
        <v>10058.992303030391</v>
      </c>
      <c r="BY41" s="48" cm="1">
        <f t="array" ref="BY41">_xlfn.IFS(_xlfn.SINGLE(Month)&lt;ops_start_mo,0,
_xlfn.SINGLE(Month)&gt;=ops_start_mo,
_xlfn.SINGLE(prem_customer_FCST)*prem_take_rate*prem_sales_per_car*POWER(1+inflation_store,QUOTIENT(_xlfn.SINGLE(Month)-ops_start_mo, 12)))</f>
        <v>10109.287264545541</v>
      </c>
      <c r="BZ41" s="48" cm="1">
        <f t="array" ref="BZ41">_xlfn.IFS(_xlfn.SINGLE(Month)&lt;ops_start_mo,0,
_xlfn.SINGLE(Month)&gt;=ops_start_mo,
_xlfn.SINGLE(prem_customer_FCST)*prem_take_rate*prem_sales_per_car*POWER(1+inflation_store,QUOTIENT(_xlfn.SINGLE(Month)-ops_start_mo, 12)))</f>
        <v>10159.833700868267</v>
      </c>
      <c r="CA41" s="48" cm="1">
        <f t="array" ref="CA41">_xlfn.IFS(_xlfn.SINGLE(Month)&lt;ops_start_mo,0,
_xlfn.SINGLE(Month)&gt;=ops_start_mo,
_xlfn.SINGLE(prem_customer_FCST)*prem_take_rate*prem_sales_per_car*POWER(1+inflation_store,QUOTIENT(_xlfn.SINGLE(Month)-ops_start_mo, 12)))</f>
        <v>10210.632869372605</v>
      </c>
      <c r="CB41" s="48" cm="1">
        <f t="array" ref="CB41">_xlfn.IFS(_xlfn.SINGLE(Month)&lt;ops_start_mo,0,
_xlfn.SINGLE(Month)&gt;=ops_start_mo,
_xlfn.SINGLE(prem_customer_FCST)*prem_take_rate*prem_sales_per_car*POWER(1+inflation_store,QUOTIENT(_xlfn.SINGLE(Month)-ops_start_mo, 12)))</f>
        <v>10261.686033719467</v>
      </c>
      <c r="CC41" s="48" cm="1">
        <f t="array" ref="CC41">_xlfn.IFS(_xlfn.SINGLE(Month)&lt;ops_start_mo,0,
_xlfn.SINGLE(Month)&gt;=ops_start_mo,
_xlfn.SINGLE(prem_customer_FCST)*prem_take_rate*prem_sales_per_car*POWER(1+inflation_store,QUOTIENT(_xlfn.SINGLE(Month)-ops_start_mo, 12)))</f>
        <v>10312.994463888062</v>
      </c>
      <c r="CD41" s="48" cm="1">
        <f t="array" ref="CD41">_xlfn.IFS(_xlfn.SINGLE(Month)&lt;ops_start_mo,0,
_xlfn.SINGLE(Month)&gt;=ops_start_mo,
_xlfn.SINGLE(prem_customer_FCST)*prem_take_rate*prem_sales_per_car*POWER(1+inflation_store,QUOTIENT(_xlfn.SINGLE(Month)-ops_start_mo, 12)))</f>
        <v>10364.559436207503</v>
      </c>
      <c r="CE41" s="48" cm="1">
        <f t="array" ref="CE41">_xlfn.IFS(_xlfn.SINGLE(Month)&lt;ops_start_mo,0,
_xlfn.SINGLE(Month)&gt;=ops_start_mo,
_xlfn.SINGLE(prem_customer_FCST)*prem_take_rate*prem_sales_per_car*POWER(1+inflation_store,QUOTIENT(_xlfn.SINGLE(Month)-ops_start_mo, 12)))</f>
        <v>10416.382233388538</v>
      </c>
      <c r="CF41" s="48" cm="1">
        <f t="array" ref="CF41">_xlfn.IFS(_xlfn.SINGLE(Month)&lt;ops_start_mo,0,
_xlfn.SINGLE(Month)&gt;=ops_start_mo,
_xlfn.SINGLE(prem_customer_FCST)*prem_take_rate*prem_sales_per_car*POWER(1+inflation_store,QUOTIENT(_xlfn.SINGLE(Month)-ops_start_mo, 12)))</f>
        <v>10468.464144555479</v>
      </c>
      <c r="CG41" s="48" cm="1">
        <f t="array" ref="CG41">_xlfn.IFS(_xlfn.SINGLE(Month)&lt;ops_start_mo,0,
_xlfn.SINGLE(Month)&gt;=ops_start_mo,
_xlfn.SINGLE(prem_customer_FCST)*prem_take_rate*prem_sales_per_car*POWER(1+inflation_store,QUOTIENT(_xlfn.SINGLE(Month)-ops_start_mo, 12)))</f>
        <v>10520.806465278254</v>
      </c>
      <c r="CH41" s="48" cm="1">
        <f t="array" ref="CH41">_xlfn.IFS(_xlfn.SINGLE(Month)&lt;ops_start_mo,0,
_xlfn.SINGLE(Month)&gt;=ops_start_mo,
_xlfn.SINGLE(prem_customer_FCST)*prem_take_rate*prem_sales_per_car*POWER(1+inflation_store,QUOTIENT(_xlfn.SINGLE(Month)-ops_start_mo, 12)))</f>
        <v>10573.410497604646</v>
      </c>
      <c r="CI41" s="48" cm="1">
        <f t="array" ref="CI41">_xlfn.IFS(_xlfn.SINGLE(Month)&lt;ops_start_mo,0,
_xlfn.SINGLE(Month)&gt;=ops_start_mo,
_xlfn.SINGLE(prem_customer_FCST)*prem_take_rate*prem_sales_per_car*POWER(1+inflation_store,QUOTIENT(_xlfn.SINGLE(Month)-ops_start_mo, 12)))</f>
        <v>10626.277550092665</v>
      </c>
      <c r="CJ41" s="48" cm="1">
        <f t="array" ref="CJ41">_xlfn.IFS(_xlfn.SINGLE(Month)&lt;ops_start_mo,0,
_xlfn.SINGLE(Month)&gt;=ops_start_mo,
_xlfn.SINGLE(prem_customer_FCST)*prem_take_rate*prem_sales_per_car*POWER(1+inflation_store,QUOTIENT(_xlfn.SINGLE(Month)-ops_start_mo, 12)))</f>
        <v>10999.791205978425</v>
      </c>
      <c r="CK41" s="48" cm="1">
        <f t="array" ref="CK41">_xlfn.IFS(_xlfn.SINGLE(Month)&lt;ops_start_mo,0,
_xlfn.SINGLE(Month)&gt;=ops_start_mo,
_xlfn.SINGLE(prem_customer_FCST)*prem_take_rate*prem_sales_per_car*POWER(1+inflation_store,QUOTIENT(_xlfn.SINGLE(Month)-ops_start_mo, 12)))</f>
        <v>11054.790162008312</v>
      </c>
      <c r="CL41" s="48" cm="1">
        <f t="array" ref="CL41">_xlfn.IFS(_xlfn.SINGLE(Month)&lt;ops_start_mo,0,
_xlfn.SINGLE(Month)&gt;=ops_start_mo,
_xlfn.SINGLE(prem_customer_FCST)*prem_take_rate*prem_sales_per_car*POWER(1+inflation_store,QUOTIENT(_xlfn.SINGLE(Month)-ops_start_mo, 12)))</f>
        <v>11110.064112818352</v>
      </c>
      <c r="CM41" s="48" cm="1">
        <f t="array" ref="CM41">_xlfn.IFS(_xlfn.SINGLE(Month)&lt;ops_start_mo,0,
_xlfn.SINGLE(Month)&gt;=ops_start_mo,
_xlfn.SINGLE(prem_customer_FCST)*prem_take_rate*prem_sales_per_car*POWER(1+inflation_store,QUOTIENT(_xlfn.SINGLE(Month)-ops_start_mo, 12)))</f>
        <v>11165.614433382443</v>
      </c>
      <c r="CN41" s="48" cm="1">
        <f t="array" ref="CN41">_xlfn.IFS(_xlfn.SINGLE(Month)&lt;ops_start_mo,0,
_xlfn.SINGLE(Month)&gt;=ops_start_mo,
_xlfn.SINGLE(prem_customer_FCST)*prem_take_rate*prem_sales_per_car*POWER(1+inflation_store,QUOTIENT(_xlfn.SINGLE(Month)-ops_start_mo, 12)))</f>
        <v>11221.442505549356</v>
      </c>
      <c r="CO41" s="48" cm="1">
        <f t="array" ref="CO41">_xlfn.IFS(_xlfn.SINGLE(Month)&lt;ops_start_mo,0,
_xlfn.SINGLE(Month)&gt;=ops_start_mo,
_xlfn.SINGLE(prem_customer_FCST)*prem_take_rate*prem_sales_per_car*POWER(1+inflation_store,QUOTIENT(_xlfn.SINGLE(Month)-ops_start_mo, 12)))</f>
        <v>11277.549718077098</v>
      </c>
      <c r="CP41" s="48" cm="1">
        <f t="array" ref="CP41">_xlfn.IFS(_xlfn.SINGLE(Month)&lt;ops_start_mo,0,
_xlfn.SINGLE(Month)&gt;=ops_start_mo,
_xlfn.SINGLE(prem_customer_FCST)*prem_take_rate*prem_sales_per_car*POWER(1+inflation_store,QUOTIENT(_xlfn.SINGLE(Month)-ops_start_mo, 12)))</f>
        <v>11333.937466667481</v>
      </c>
      <c r="CQ41" s="48" cm="1">
        <f t="array" ref="CQ41">_xlfn.IFS(_xlfn.SINGLE(Month)&lt;ops_start_mo,0,
_xlfn.SINGLE(Month)&gt;=ops_start_mo,
_xlfn.SINGLE(prem_customer_FCST)*prem_take_rate*prem_sales_per_car*POWER(1+inflation_store,QUOTIENT(_xlfn.SINGLE(Month)-ops_start_mo, 12)))</f>
        <v>11390.607154000818</v>
      </c>
      <c r="CR41" s="48" cm="1">
        <f t="array" ref="CR41">_xlfn.IFS(_xlfn.SINGLE(Month)&lt;ops_start_mo,0,
_xlfn.SINGLE(Month)&gt;=ops_start_mo,
_xlfn.SINGLE(prem_customer_FCST)*prem_take_rate*prem_sales_per_car*POWER(1+inflation_store,QUOTIENT(_xlfn.SINGLE(Month)-ops_start_mo, 12)))</f>
        <v>11447.56018977082</v>
      </c>
      <c r="CS41" s="48" cm="1">
        <f t="array" ref="CS41">_xlfn.IFS(_xlfn.SINGLE(Month)&lt;ops_start_mo,0,
_xlfn.SINGLE(Month)&gt;=ops_start_mo,
_xlfn.SINGLE(prem_customer_FCST)*prem_take_rate*prem_sales_per_car*POWER(1+inflation_store,QUOTIENT(_xlfn.SINGLE(Month)-ops_start_mo, 12)))</f>
        <v>11504.797990719671</v>
      </c>
      <c r="CT41" s="48" cm="1">
        <f t="array" ref="CT41">_xlfn.IFS(_xlfn.SINGLE(Month)&lt;ops_start_mo,0,
_xlfn.SINGLE(Month)&gt;=ops_start_mo,
_xlfn.SINGLE(prem_customer_FCST)*prem_take_rate*prem_sales_per_car*POWER(1+inflation_store,QUOTIENT(_xlfn.SINGLE(Month)-ops_start_mo, 12)))</f>
        <v>11562.321980673267</v>
      </c>
      <c r="CU41" s="48" cm="1">
        <f t="array" ref="CU41">_xlfn.IFS(_xlfn.SINGLE(Month)&lt;ops_start_mo,0,
_xlfn.SINGLE(Month)&gt;=ops_start_mo,
_xlfn.SINGLE(prem_customer_FCST)*prem_take_rate*prem_sales_per_car*POWER(1+inflation_store,QUOTIENT(_xlfn.SINGLE(Month)-ops_start_mo, 12)))</f>
        <v>11620.133590576635</v>
      </c>
      <c r="CV41" s="48" cm="1">
        <f t="array" ref="CV41">_xlfn.IFS(_xlfn.SINGLE(Month)&lt;ops_start_mo,0,
_xlfn.SINGLE(Month)&gt;=ops_start_mo,
_xlfn.SINGLE(prem_customer_FCST)*prem_take_rate*prem_sales_per_car*POWER(1+inflation_store,QUOTIENT(_xlfn.SINGLE(Month)-ops_start_mo, 12)))</f>
        <v>12028.581286285402</v>
      </c>
      <c r="CW41" s="48" cm="1">
        <f t="array" ref="CW41">_xlfn.IFS(_xlfn.SINGLE(Month)&lt;ops_start_mo,0,
_xlfn.SINGLE(Month)&gt;=ops_start_mo,
_xlfn.SINGLE(prem_customer_FCST)*prem_take_rate*prem_sales_per_car*POWER(1+inflation_store,QUOTIENT(_xlfn.SINGLE(Month)-ops_start_mo, 12)))</f>
        <v>12088.724192716829</v>
      </c>
      <c r="CX41" s="48" cm="1">
        <f t="array" ref="CX41">_xlfn.IFS(_xlfn.SINGLE(Month)&lt;ops_start_mo,0,
_xlfn.SINGLE(Month)&gt;=ops_start_mo,
_xlfn.SINGLE(prem_customer_FCST)*prem_take_rate*prem_sales_per_car*POWER(1+inflation_store,QUOTIENT(_xlfn.SINGLE(Month)-ops_start_mo, 12)))</f>
        <v>12149.167813680409</v>
      </c>
      <c r="CY41" s="48" cm="1">
        <f t="array" ref="CY41">_xlfn.IFS(_xlfn.SINGLE(Month)&lt;ops_start_mo,0,
_xlfn.SINGLE(Month)&gt;=ops_start_mo,
_xlfn.SINGLE(prem_customer_FCST)*prem_take_rate*prem_sales_per_car*POWER(1+inflation_store,QUOTIENT(_xlfn.SINGLE(Month)-ops_start_mo, 12)))</f>
        <v>12209.91365274881</v>
      </c>
      <c r="CZ41" s="48" cm="1">
        <f t="array" ref="CZ41">_xlfn.IFS(_xlfn.SINGLE(Month)&lt;ops_start_mo,0,
_xlfn.SINGLE(Month)&gt;=ops_start_mo,
_xlfn.SINGLE(prem_customer_FCST)*prem_take_rate*prem_sales_per_car*POWER(1+inflation_store,QUOTIENT(_xlfn.SINGLE(Month)-ops_start_mo, 12)))</f>
        <v>12270.963221012553</v>
      </c>
      <c r="DA41" s="48" cm="1">
        <f t="array" ref="DA41">_xlfn.IFS(_xlfn.SINGLE(Month)&lt;ops_start_mo,0,
_xlfn.SINGLE(Month)&gt;=ops_start_mo,
_xlfn.SINGLE(prem_customer_FCST)*prem_take_rate*prem_sales_per_car*POWER(1+inflation_store,QUOTIENT(_xlfn.SINGLE(Month)-ops_start_mo, 12)))</f>
        <v>12332.318037117611</v>
      </c>
      <c r="DB41" s="48" cm="1">
        <f t="array" ref="DB41">_xlfn.IFS(_xlfn.SINGLE(Month)&lt;ops_start_mo,0,
_xlfn.SINGLE(Month)&gt;=ops_start_mo,
_xlfn.SINGLE(prem_customer_FCST)*prem_take_rate*prem_sales_per_car*POWER(1+inflation_store,QUOTIENT(_xlfn.SINGLE(Month)-ops_start_mo, 12)))</f>
        <v>12393.979627303197</v>
      </c>
      <c r="DC41" s="48" cm="1">
        <f t="array" ref="DC41">_xlfn.IFS(_xlfn.SINGLE(Month)&lt;ops_start_mo,0,
_xlfn.SINGLE(Month)&gt;=ops_start_mo,
_xlfn.SINGLE(prem_customer_FCST)*prem_take_rate*prem_sales_per_car*POWER(1+inflation_store,QUOTIENT(_xlfn.SINGLE(Month)-ops_start_mo, 12)))</f>
        <v>12455.94952543971</v>
      </c>
      <c r="DD41" s="48" cm="1">
        <f t="array" ref="DD41">_xlfn.IFS(_xlfn.SINGLE(Month)&lt;ops_start_mo,0,
_xlfn.SINGLE(Month)&gt;=ops_start_mo,
_xlfn.SINGLE(prem_customer_FCST)*prem_take_rate*prem_sales_per_car*POWER(1+inflation_store,QUOTIENT(_xlfn.SINGLE(Month)-ops_start_mo, 12)))</f>
        <v>12518.229273066909</v>
      </c>
      <c r="DE41" s="48" cm="1">
        <f t="array" ref="DE41">_xlfn.IFS(_xlfn.SINGLE(Month)&lt;ops_start_mo,0,
_xlfn.SINGLE(Month)&gt;=ops_start_mo,
_xlfn.SINGLE(prem_customer_FCST)*prem_take_rate*prem_sales_per_car*POWER(1+inflation_store,QUOTIENT(_xlfn.SINGLE(Month)-ops_start_mo, 12)))</f>
        <v>12580.820419432242</v>
      </c>
      <c r="DF41" s="48" cm="1">
        <f t="array" ref="DF41">_xlfn.IFS(_xlfn.SINGLE(Month)&lt;ops_start_mo,0,
_xlfn.SINGLE(Month)&gt;=ops_start_mo,
_xlfn.SINGLE(prem_customer_FCST)*prem_take_rate*prem_sales_per_car*POWER(1+inflation_store,QUOTIENT(_xlfn.SINGLE(Month)-ops_start_mo, 12)))</f>
        <v>12643.724521529402</v>
      </c>
      <c r="DG41" s="48" cm="1">
        <f t="array" ref="DG41">_xlfn.IFS(_xlfn.SINGLE(Month)&lt;ops_start_mo,0,
_xlfn.SINGLE(Month)&gt;=ops_start_mo,
_xlfn.SINGLE(prem_customer_FCST)*prem_take_rate*prem_sales_per_car*POWER(1+inflation_store,QUOTIENT(_xlfn.SINGLE(Month)-ops_start_mo, 12)))</f>
        <v>12706.943144137043</v>
      </c>
      <c r="DH41" s="48" cm="1">
        <f t="array" ref="DH41">_xlfn.IFS(_xlfn.SINGLE(Month)&lt;ops_start_mo,0,
_xlfn.SINGLE(Month)&gt;=ops_start_mo,
_xlfn.SINGLE(prem_customer_FCST)*prem_take_rate*prem_sales_per_car*POWER(1+inflation_store,QUOTIENT(_xlfn.SINGLE(Month)-ops_start_mo, 12)))</f>
        <v>13153.592195653457</v>
      </c>
      <c r="DI41" s="48" cm="1">
        <f t="array" ref="DI41">_xlfn.IFS(_xlfn.SINGLE(Month)&lt;ops_start_mo,0,
_xlfn.SINGLE(Month)&gt;=ops_start_mo,
_xlfn.SINGLE(prem_customer_FCST)*prem_take_rate*prem_sales_per_car*POWER(1+inflation_store,QUOTIENT(_xlfn.SINGLE(Month)-ops_start_mo, 12)))</f>
        <v>13219.360156631725</v>
      </c>
      <c r="DJ41" s="48" cm="1">
        <f t="array" ref="DJ41">_xlfn.IFS(_xlfn.SINGLE(Month)&lt;ops_start_mo,0,
_xlfn.SINGLE(Month)&gt;=ops_start_mo,
_xlfn.SINGLE(prem_customer_FCST)*prem_take_rate*prem_sales_per_car*POWER(1+inflation_store,QUOTIENT(_xlfn.SINGLE(Month)-ops_start_mo, 12)))</f>
        <v>13285.456957414881</v>
      </c>
      <c r="DK41" s="48" cm="1">
        <f t="array" ref="DK41">_xlfn.IFS(_xlfn.SINGLE(Month)&lt;ops_start_mo,0,
_xlfn.SINGLE(Month)&gt;=ops_start_mo,
_xlfn.SINGLE(prem_customer_FCST)*prem_take_rate*prem_sales_per_car*POWER(1+inflation_store,QUOTIENT(_xlfn.SINGLE(Month)-ops_start_mo, 12)))</f>
        <v>13351.884242201953</v>
      </c>
      <c r="DL41" s="48" cm="1">
        <f t="array" ref="DL41">_xlfn.IFS(_xlfn.SINGLE(Month)&lt;ops_start_mo,0,
_xlfn.SINGLE(Month)&gt;=ops_start_mo,
_xlfn.SINGLE(prem_customer_FCST)*prem_take_rate*prem_sales_per_car*POWER(1+inflation_store,QUOTIENT(_xlfn.SINGLE(Month)-ops_start_mo, 12)))</f>
        <v>13418.643663412964</v>
      </c>
      <c r="DM41" s="48" cm="1">
        <f t="array" ref="DM41">_xlfn.IFS(_xlfn.SINGLE(Month)&lt;ops_start_mo,0,
_xlfn.SINGLE(Month)&gt;=ops_start_mo,
_xlfn.SINGLE(prem_customer_FCST)*prem_take_rate*prem_sales_per_car*POWER(1+inflation_store,QUOTIENT(_xlfn.SINGLE(Month)-ops_start_mo, 12)))</f>
        <v>13485.736881730025</v>
      </c>
      <c r="DN41" s="48" cm="1">
        <f t="array" ref="DN41">_xlfn.IFS(_xlfn.SINGLE(Month)&lt;ops_start_mo,0,
_xlfn.SINGLE(Month)&gt;=ops_start_mo,
_xlfn.SINGLE(prem_customer_FCST)*prem_take_rate*prem_sales_per_car*POWER(1+inflation_store,QUOTIENT(_xlfn.SINGLE(Month)-ops_start_mo, 12)))</f>
        <v>13553.165566138676</v>
      </c>
      <c r="DO41" s="48" cm="1">
        <f t="array" ref="DO41">_xlfn.IFS(_xlfn.SINGLE(Month)&lt;ops_start_mo,0,
_xlfn.SINGLE(Month)&gt;=ops_start_mo,
_xlfn.SINGLE(prem_customer_FCST)*prem_take_rate*prem_sales_per_car*POWER(1+inflation_store,QUOTIENT(_xlfn.SINGLE(Month)-ops_start_mo, 12)))</f>
        <v>13620.931393969366</v>
      </c>
      <c r="DP41" s="48" cm="1">
        <f t="array" ref="DP41">_xlfn.IFS(_xlfn.SINGLE(Month)&lt;ops_start_mo,0,
_xlfn.SINGLE(Month)&gt;=ops_start_mo,
_xlfn.SINGLE(prem_customer_FCST)*prem_take_rate*prem_sales_per_car*POWER(1+inflation_store,QUOTIENT(_xlfn.SINGLE(Month)-ops_start_mo, 12)))</f>
        <v>13689.036050939209</v>
      </c>
      <c r="DQ41" s="48" cm="1">
        <f t="array" ref="DQ41">_xlfn.IFS(_xlfn.SINGLE(Month)&lt;ops_start_mo,0,
_xlfn.SINGLE(Month)&gt;=ops_start_mo,
_xlfn.SINGLE(prem_customer_FCST)*prem_take_rate*prem_sales_per_car*POWER(1+inflation_store,QUOTIENT(_xlfn.SINGLE(Month)-ops_start_mo, 12)))</f>
        <v>13757.481231193904</v>
      </c>
      <c r="DR41" s="48" cm="1">
        <f t="array" ref="DR41">_xlfn.IFS(_xlfn.SINGLE(Month)&lt;ops_start_mo,0,
_xlfn.SINGLE(Month)&gt;=ops_start_mo,
_xlfn.SINGLE(prem_customer_FCST)*prem_take_rate*prem_sales_per_car*POWER(1+inflation_store,QUOTIENT(_xlfn.SINGLE(Month)-ops_start_mo, 12)))</f>
        <v>13826.268637349865</v>
      </c>
      <c r="DS41" s="48" cm="1">
        <f t="array" ref="DS41">_xlfn.IFS(_xlfn.SINGLE(Month)&lt;ops_start_mo,0,
_xlfn.SINGLE(Month)&gt;=ops_start_mo,
_xlfn.SINGLE(prem_customer_FCST)*prem_take_rate*prem_sales_per_car*POWER(1+inflation_store,QUOTIENT(_xlfn.SINGLE(Month)-ops_start_mo, 12)))</f>
        <v>13895.399980536615</v>
      </c>
    </row>
    <row r="42" spans="1:123" x14ac:dyDescent="0.35">
      <c r="A42" s="49"/>
      <c r="B42" s="49" t="s">
        <v>130</v>
      </c>
      <c r="C42" s="48">
        <f t="shared" ref="C42:BN42" si="270" xml:space="preserve"> -store_COS_pct*SUM(Mini_Customers_In_Store_Sales+Regular_Customers_In_Store_Sales+Premium_Customers_In_Store_Sales)</f>
        <v>0</v>
      </c>
      <c r="D42" s="48">
        <f t="shared" si="270"/>
        <v>0</v>
      </c>
      <c r="E42" s="48">
        <f t="shared" si="270"/>
        <v>0</v>
      </c>
      <c r="F42" s="48">
        <f t="shared" si="270"/>
        <v>0</v>
      </c>
      <c r="G42" s="48">
        <f t="shared" si="270"/>
        <v>0</v>
      </c>
      <c r="H42" s="48">
        <f t="shared" si="270"/>
        <v>0</v>
      </c>
      <c r="I42" s="48">
        <f t="shared" si="270"/>
        <v>0</v>
      </c>
      <c r="J42" s="48">
        <f t="shared" si="270"/>
        <v>0</v>
      </c>
      <c r="K42" s="48">
        <f t="shared" si="270"/>
        <v>0</v>
      </c>
      <c r="L42" s="48">
        <f t="shared" si="270"/>
        <v>0</v>
      </c>
      <c r="M42" s="48">
        <f t="shared" si="270"/>
        <v>0</v>
      </c>
      <c r="N42" s="48">
        <f t="shared" si="270"/>
        <v>0</v>
      </c>
      <c r="O42" s="48">
        <f t="shared" si="270"/>
        <v>0</v>
      </c>
      <c r="P42" s="48">
        <f t="shared" si="270"/>
        <v>-3437.5</v>
      </c>
      <c r="Q42" s="48">
        <f t="shared" si="270"/>
        <v>-3492.2500000000005</v>
      </c>
      <c r="R42" s="48">
        <f t="shared" si="270"/>
        <v>-3548.1550000000002</v>
      </c>
      <c r="S42" s="48">
        <f t="shared" si="270"/>
        <v>-3605.2447000000002</v>
      </c>
      <c r="T42" s="48">
        <f t="shared" si="270"/>
        <v>-3663.5496399999997</v>
      </c>
      <c r="U42" s="48">
        <f t="shared" si="270"/>
        <v>-3723.1012246599998</v>
      </c>
      <c r="V42" s="48">
        <f t="shared" si="270"/>
        <v>-3783.9317486938007</v>
      </c>
      <c r="W42" s="48">
        <f t="shared" si="270"/>
        <v>-3846.0744230185419</v>
      </c>
      <c r="X42" s="48">
        <f t="shared" si="270"/>
        <v>-3909.5634016825934</v>
      </c>
      <c r="Y42" s="48">
        <f t="shared" si="270"/>
        <v>-3974.4338095950484</v>
      </c>
      <c r="Z42" s="48">
        <f t="shared" si="270"/>
        <v>-4040.7217710808163</v>
      </c>
      <c r="AA42" s="48">
        <f t="shared" si="270"/>
        <v>-4108.4644392860055</v>
      </c>
      <c r="AB42" s="48">
        <f t="shared" si="270"/>
        <v>-4303.0310272527722</v>
      </c>
      <c r="AC42" s="48">
        <f t="shared" si="270"/>
        <v>-4375.9218701874797</v>
      </c>
      <c r="AD42" s="48">
        <f t="shared" si="270"/>
        <v>-4450.4325389474707</v>
      </c>
      <c r="AE42" s="48">
        <f t="shared" si="270"/>
        <v>-4526.6058613411933</v>
      </c>
      <c r="AF42" s="48">
        <f t="shared" si="270"/>
        <v>-4604.4858903822596</v>
      </c>
      <c r="AG42" s="48">
        <f t="shared" si="270"/>
        <v>-4684.1179404101076</v>
      </c>
      <c r="AH42" s="48">
        <f t="shared" si="270"/>
        <v>-4765.5486242871712</v>
      </c>
      <c r="AI42" s="48">
        <f t="shared" si="270"/>
        <v>-4848.8258917047096</v>
      </c>
      <c r="AJ42" s="48">
        <f t="shared" si="270"/>
        <v>-4933.9990686305337</v>
      </c>
      <c r="AK42" s="48">
        <f t="shared" si="270"/>
        <v>-5021.1188979327253</v>
      </c>
      <c r="AL42" s="48">
        <f t="shared" si="270"/>
        <v>-5110.2375812146011</v>
      </c>
      <c r="AM42" s="48">
        <f t="shared" si="270"/>
        <v>-5201.4088218971156</v>
      </c>
      <c r="AN42" s="48">
        <f t="shared" si="270"/>
        <v>-5453.528505673672</v>
      </c>
      <c r="AO42" s="48">
        <f t="shared" si="270"/>
        <v>-5551.8355127355235</v>
      </c>
      <c r="AP42" s="48">
        <f t="shared" si="270"/>
        <v>-5652.4323425616039</v>
      </c>
      <c r="AQ42" s="48">
        <f t="shared" si="270"/>
        <v>-5755.3809679810329</v>
      </c>
      <c r="AR42" s="48">
        <f t="shared" si="270"/>
        <v>-5860.745151229683</v>
      </c>
      <c r="AS42" s="48">
        <f t="shared" si="270"/>
        <v>-5968.5904968833956</v>
      </c>
      <c r="AT42" s="48">
        <f t="shared" si="270"/>
        <v>-6078.9845063707144</v>
      </c>
      <c r="AU42" s="48">
        <f t="shared" si="270"/>
        <v>-6191.9966341123381</v>
      </c>
      <c r="AV42" s="48">
        <f t="shared" si="270"/>
        <v>-6307.6983453360745</v>
      </c>
      <c r="AW42" s="48">
        <f t="shared" si="270"/>
        <v>-6426.1631756173729</v>
      </c>
      <c r="AX42" s="48">
        <f t="shared" si="270"/>
        <v>-6547.4667921971431</v>
      </c>
      <c r="AY42" s="48">
        <f t="shared" si="270"/>
        <v>-6671.6870571300569</v>
      </c>
      <c r="AZ42" s="48">
        <f t="shared" si="270"/>
        <v>-7002.8712150876636</v>
      </c>
      <c r="BA42" s="48">
        <f t="shared" si="270"/>
        <v>-7137.0763568805451</v>
      </c>
      <c r="BB42" s="48">
        <f t="shared" si="270"/>
        <v>-7274.5404840807041</v>
      </c>
      <c r="BC42" s="48">
        <f t="shared" si="270"/>
        <v>-7415.353527383887</v>
      </c>
      <c r="BD42" s="48">
        <f t="shared" si="270"/>
        <v>-7559.6080336745035</v>
      </c>
      <c r="BE42" s="48">
        <f t="shared" si="270"/>
        <v>-7707.3992436270673</v>
      </c>
      <c r="BF42" s="48">
        <f t="shared" si="270"/>
        <v>-7858.8251716255418</v>
      </c>
      <c r="BG42" s="48">
        <f t="shared" si="270"/>
        <v>-8013.9866880699337</v>
      </c>
      <c r="BH42" s="48">
        <f t="shared" si="270"/>
        <v>-8172.9876041416619</v>
      </c>
      <c r="BI42" s="48">
        <f t="shared" si="270"/>
        <v>-8335.9347591013102</v>
      </c>
      <c r="BJ42" s="48">
        <f t="shared" si="270"/>
        <v>-8502.9381101945983</v>
      </c>
      <c r="BK42" s="48">
        <f t="shared" si="270"/>
        <v>-8674.1108252447193</v>
      </c>
      <c r="BL42" s="48">
        <f t="shared" si="270"/>
        <v>-9115.0564593517738</v>
      </c>
      <c r="BM42" s="48">
        <f t="shared" si="270"/>
        <v>-9300.3166557918321</v>
      </c>
      <c r="BN42" s="48">
        <f t="shared" si="270"/>
        <v>-9490.2418240122715</v>
      </c>
      <c r="BO42" s="48">
        <f t="shared" ref="BO42:DS42" si="271" xml:space="preserve"> -store_COS_pct*SUM(Mini_Customers_In_Store_Sales+Regular_Customers_In_Store_Sales+Premium_Customers_In_Store_Sales)</f>
        <v>-9684.9627664425861</v>
      </c>
      <c r="BP42" s="48">
        <f t="shared" si="271"/>
        <v>-9884.61411375026</v>
      </c>
      <c r="BQ42" s="48">
        <f t="shared" si="271"/>
        <v>-10089.334438642205</v>
      </c>
      <c r="BR42" s="48">
        <f t="shared" si="271"/>
        <v>-10299.266373068043</v>
      </c>
      <c r="BS42" s="48">
        <f t="shared" si="271"/>
        <v>-10514.556728927106</v>
      </c>
      <c r="BT42" s="48">
        <f t="shared" si="271"/>
        <v>-10735.356622384148</v>
      </c>
      <c r="BU42" s="48">
        <f t="shared" si="271"/>
        <v>-10961.821601901842</v>
      </c>
      <c r="BV42" s="48">
        <f t="shared" si="271"/>
        <v>-11194.111780101401</v>
      </c>
      <c r="BW42" s="48">
        <f t="shared" si="271"/>
        <v>-11432.391969565997</v>
      </c>
      <c r="BX42" s="48">
        <f t="shared" si="271"/>
        <v>-11834.24054729624</v>
      </c>
      <c r="BY42" s="48">
        <f t="shared" si="271"/>
        <v>-11893.411750032719</v>
      </c>
      <c r="BZ42" s="48">
        <f t="shared" si="271"/>
        <v>-11952.87880878288</v>
      </c>
      <c r="CA42" s="48">
        <f t="shared" si="271"/>
        <v>-12012.643202826792</v>
      </c>
      <c r="CB42" s="48">
        <f t="shared" si="271"/>
        <v>-12072.706418840924</v>
      </c>
      <c r="CC42" s="48">
        <f t="shared" si="271"/>
        <v>-12133.069950935127</v>
      </c>
      <c r="CD42" s="48">
        <f t="shared" si="271"/>
        <v>-12193.735300689801</v>
      </c>
      <c r="CE42" s="48">
        <f t="shared" si="271"/>
        <v>-12254.703977193249</v>
      </c>
      <c r="CF42" s="48">
        <f t="shared" si="271"/>
        <v>-12315.977497079213</v>
      </c>
      <c r="CG42" s="48">
        <f t="shared" si="271"/>
        <v>-12377.557384564607</v>
      </c>
      <c r="CH42" s="48">
        <f t="shared" si="271"/>
        <v>-12439.44517148743</v>
      </c>
      <c r="CI42" s="48">
        <f t="shared" si="271"/>
        <v>-12501.642397344862</v>
      </c>
      <c r="CJ42" s="48">
        <f t="shared" si="271"/>
        <v>-12941.075127611535</v>
      </c>
      <c r="CK42" s="48">
        <f t="shared" si="271"/>
        <v>-13005.780503249589</v>
      </c>
      <c r="CL42" s="48">
        <f t="shared" si="271"/>
        <v>-13070.809405765836</v>
      </c>
      <c r="CM42" s="48">
        <f t="shared" si="271"/>
        <v>-13136.163452794663</v>
      </c>
      <c r="CN42" s="48">
        <f t="shared" si="271"/>
        <v>-13201.844270058637</v>
      </c>
      <c r="CO42" s="48">
        <f t="shared" si="271"/>
        <v>-13267.853491408925</v>
      </c>
      <c r="CP42" s="48">
        <f t="shared" si="271"/>
        <v>-13334.192758865967</v>
      </c>
      <c r="CQ42" s="48">
        <f t="shared" si="271"/>
        <v>-13400.863722660297</v>
      </c>
      <c r="CR42" s="48">
        <f t="shared" si="271"/>
        <v>-13467.868041273596</v>
      </c>
      <c r="CS42" s="48">
        <f t="shared" si="271"/>
        <v>-13535.207381479962</v>
      </c>
      <c r="CT42" s="48">
        <f t="shared" si="271"/>
        <v>-13602.883418387357</v>
      </c>
      <c r="CU42" s="48">
        <f t="shared" si="271"/>
        <v>-13670.897835479296</v>
      </c>
      <c r="CV42" s="48">
        <f t="shared" si="271"/>
        <v>-14151.429894396389</v>
      </c>
      <c r="CW42" s="48">
        <f t="shared" si="271"/>
        <v>-14222.187043868373</v>
      </c>
      <c r="CX42" s="48">
        <f t="shared" si="271"/>
        <v>-14293.297979087711</v>
      </c>
      <c r="CY42" s="48">
        <f t="shared" si="271"/>
        <v>-14364.764468983147</v>
      </c>
      <c r="CZ42" s="48">
        <f t="shared" si="271"/>
        <v>-14436.58829132806</v>
      </c>
      <c r="DA42" s="48">
        <f t="shared" si="271"/>
        <v>-14508.771232784697</v>
      </c>
      <c r="DB42" s="48">
        <f t="shared" si="271"/>
        <v>-14581.315088948617</v>
      </c>
      <c r="DC42" s="48">
        <f t="shared" si="271"/>
        <v>-14654.221664393357</v>
      </c>
      <c r="DD42" s="48">
        <f t="shared" si="271"/>
        <v>-14727.492772715323</v>
      </c>
      <c r="DE42" s="48">
        <f t="shared" si="271"/>
        <v>-14801.130236578898</v>
      </c>
      <c r="DF42" s="48">
        <f t="shared" si="271"/>
        <v>-14875.135887761793</v>
      </c>
      <c r="DG42" s="48">
        <f t="shared" si="271"/>
        <v>-14949.511567200596</v>
      </c>
      <c r="DH42" s="48">
        <f t="shared" si="271"/>
        <v>-15474.986898787691</v>
      </c>
      <c r="DI42" s="48">
        <f t="shared" si="271"/>
        <v>-15552.36183328163</v>
      </c>
      <c r="DJ42" s="48">
        <f t="shared" si="271"/>
        <v>-15630.123642448036</v>
      </c>
      <c r="DK42" s="48">
        <f t="shared" si="271"/>
        <v>-15708.274260660277</v>
      </c>
      <c r="DL42" s="48">
        <f t="shared" si="271"/>
        <v>-15786.815631963573</v>
      </c>
      <c r="DM42" s="48">
        <f t="shared" si="271"/>
        <v>-15865.749710123389</v>
      </c>
      <c r="DN42" s="48">
        <f t="shared" si="271"/>
        <v>-15945.078458674006</v>
      </c>
      <c r="DO42" s="48">
        <f t="shared" si="271"/>
        <v>-16024.803850967372</v>
      </c>
      <c r="DP42" s="48">
        <f t="shared" si="271"/>
        <v>-16104.927870222204</v>
      </c>
      <c r="DQ42" s="48">
        <f t="shared" si="271"/>
        <v>-16185.452509573315</v>
      </c>
      <c r="DR42" s="48">
        <f t="shared" si="271"/>
        <v>-16266.379772121174</v>
      </c>
      <c r="DS42" s="48">
        <f t="shared" si="271"/>
        <v>-16347.711670981778</v>
      </c>
    </row>
    <row r="43" spans="1:123" x14ac:dyDescent="0.35">
      <c r="A43" s="49"/>
      <c r="B43" s="49" t="s">
        <v>133</v>
      </c>
      <c r="C43" s="48">
        <f t="shared" ref="C43:BN43" si="272" xml:space="preserve"> SUM(Mini_Customers_In_Store_Sales+Regular_Customers_In_Store_Sales+Premium_Customers_In_Store_Sales)</f>
        <v>0</v>
      </c>
      <c r="D43" s="48">
        <f t="shared" si="272"/>
        <v>0</v>
      </c>
      <c r="E43" s="48">
        <f t="shared" si="272"/>
        <v>0</v>
      </c>
      <c r="F43" s="48">
        <f t="shared" si="272"/>
        <v>0</v>
      </c>
      <c r="G43" s="48">
        <f t="shared" si="272"/>
        <v>0</v>
      </c>
      <c r="H43" s="48">
        <f t="shared" si="272"/>
        <v>0</v>
      </c>
      <c r="I43" s="48">
        <f t="shared" si="272"/>
        <v>0</v>
      </c>
      <c r="J43" s="48">
        <f t="shared" si="272"/>
        <v>0</v>
      </c>
      <c r="K43" s="48">
        <f t="shared" si="272"/>
        <v>0</v>
      </c>
      <c r="L43" s="48">
        <f t="shared" si="272"/>
        <v>0</v>
      </c>
      <c r="M43" s="48">
        <f t="shared" si="272"/>
        <v>0</v>
      </c>
      <c r="N43" s="48">
        <f t="shared" si="272"/>
        <v>0</v>
      </c>
      <c r="O43" s="48">
        <f t="shared" si="272"/>
        <v>0</v>
      </c>
      <c r="P43" s="48">
        <f t="shared" si="272"/>
        <v>6875</v>
      </c>
      <c r="Q43" s="48">
        <f t="shared" si="272"/>
        <v>6984.5000000000009</v>
      </c>
      <c r="R43" s="48">
        <f t="shared" si="272"/>
        <v>7096.31</v>
      </c>
      <c r="S43" s="48">
        <f t="shared" si="272"/>
        <v>7210.4894000000004</v>
      </c>
      <c r="T43" s="48">
        <f t="shared" si="272"/>
        <v>7327.0992799999995</v>
      </c>
      <c r="U43" s="48">
        <f t="shared" si="272"/>
        <v>7446.2024493199997</v>
      </c>
      <c r="V43" s="48">
        <f t="shared" si="272"/>
        <v>7567.8634973876015</v>
      </c>
      <c r="W43" s="48">
        <f t="shared" si="272"/>
        <v>7692.1488460370838</v>
      </c>
      <c r="X43" s="48">
        <f t="shared" si="272"/>
        <v>7819.1268033651868</v>
      </c>
      <c r="Y43" s="48">
        <f t="shared" si="272"/>
        <v>7948.8676191900968</v>
      </c>
      <c r="Z43" s="48">
        <f t="shared" si="272"/>
        <v>8081.4435421616326</v>
      </c>
      <c r="AA43" s="48">
        <f t="shared" si="272"/>
        <v>8216.9288785720109</v>
      </c>
      <c r="AB43" s="48">
        <f t="shared" si="272"/>
        <v>8606.0620545055444</v>
      </c>
      <c r="AC43" s="48">
        <f t="shared" si="272"/>
        <v>8751.8437403749595</v>
      </c>
      <c r="AD43" s="48">
        <f t="shared" si="272"/>
        <v>8900.8650778949414</v>
      </c>
      <c r="AE43" s="48">
        <f t="shared" si="272"/>
        <v>9053.2117226823866</v>
      </c>
      <c r="AF43" s="48">
        <f t="shared" si="272"/>
        <v>9208.9717807645193</v>
      </c>
      <c r="AG43" s="48">
        <f t="shared" si="272"/>
        <v>9368.2358808202152</v>
      </c>
      <c r="AH43" s="48">
        <f t="shared" si="272"/>
        <v>9531.0972485743423</v>
      </c>
      <c r="AI43" s="48">
        <f t="shared" si="272"/>
        <v>9697.6517834094193</v>
      </c>
      <c r="AJ43" s="48">
        <f t="shared" si="272"/>
        <v>9867.9981372610673</v>
      </c>
      <c r="AK43" s="48">
        <f t="shared" si="272"/>
        <v>10042.237795865451</v>
      </c>
      <c r="AL43" s="48">
        <f t="shared" si="272"/>
        <v>10220.475162429202</v>
      </c>
      <c r="AM43" s="48">
        <f t="shared" si="272"/>
        <v>10402.817643794231</v>
      </c>
      <c r="AN43" s="48">
        <f t="shared" si="272"/>
        <v>10907.057011347344</v>
      </c>
      <c r="AO43" s="48">
        <f t="shared" si="272"/>
        <v>11103.671025471047</v>
      </c>
      <c r="AP43" s="48">
        <f t="shared" si="272"/>
        <v>11304.864685123208</v>
      </c>
      <c r="AQ43" s="48">
        <f t="shared" si="272"/>
        <v>11510.761935962066</v>
      </c>
      <c r="AR43" s="48">
        <f t="shared" si="272"/>
        <v>11721.490302459366</v>
      </c>
      <c r="AS43" s="48">
        <f t="shared" si="272"/>
        <v>11937.180993766791</v>
      </c>
      <c r="AT43" s="48">
        <f t="shared" si="272"/>
        <v>12157.969012741429</v>
      </c>
      <c r="AU43" s="48">
        <f t="shared" si="272"/>
        <v>12383.993268224676</v>
      </c>
      <c r="AV43" s="48">
        <f t="shared" si="272"/>
        <v>12615.396690672149</v>
      </c>
      <c r="AW43" s="48">
        <f t="shared" si="272"/>
        <v>12852.326351234746</v>
      </c>
      <c r="AX43" s="48">
        <f t="shared" si="272"/>
        <v>13094.933584394286</v>
      </c>
      <c r="AY43" s="48">
        <f t="shared" si="272"/>
        <v>13343.374114260114</v>
      </c>
      <c r="AZ43" s="48">
        <f t="shared" si="272"/>
        <v>14005.742430175327</v>
      </c>
      <c r="BA43" s="48">
        <f t="shared" si="272"/>
        <v>14274.15271376109</v>
      </c>
      <c r="BB43" s="48">
        <f t="shared" si="272"/>
        <v>14549.080968161408</v>
      </c>
      <c r="BC43" s="48">
        <f t="shared" si="272"/>
        <v>14830.707054767774</v>
      </c>
      <c r="BD43" s="48">
        <f t="shared" si="272"/>
        <v>15119.216067349007</v>
      </c>
      <c r="BE43" s="48">
        <f t="shared" si="272"/>
        <v>15414.798487254135</v>
      </c>
      <c r="BF43" s="48">
        <f t="shared" si="272"/>
        <v>15717.650343251084</v>
      </c>
      <c r="BG43" s="48">
        <f t="shared" si="272"/>
        <v>16027.973376139867</v>
      </c>
      <c r="BH43" s="48">
        <f t="shared" si="272"/>
        <v>16345.975208283324</v>
      </c>
      <c r="BI43" s="48">
        <f t="shared" si="272"/>
        <v>16671.86951820262</v>
      </c>
      <c r="BJ43" s="48">
        <f t="shared" si="272"/>
        <v>17005.876220389197</v>
      </c>
      <c r="BK43" s="48">
        <f t="shared" si="272"/>
        <v>17348.221650489439</v>
      </c>
      <c r="BL43" s="48">
        <f t="shared" si="272"/>
        <v>18230.112918703548</v>
      </c>
      <c r="BM43" s="48">
        <f t="shared" si="272"/>
        <v>18600.633311583664</v>
      </c>
      <c r="BN43" s="48">
        <f t="shared" si="272"/>
        <v>18980.483648024543</v>
      </c>
      <c r="BO43" s="48">
        <f t="shared" ref="BO43:DS43" si="273" xml:space="preserve"> SUM(Mini_Customers_In_Store_Sales+Regular_Customers_In_Store_Sales+Premium_Customers_In_Store_Sales)</f>
        <v>19369.925532885172</v>
      </c>
      <c r="BP43" s="48">
        <f t="shared" si="273"/>
        <v>19769.22822750052</v>
      </c>
      <c r="BQ43" s="48">
        <f t="shared" si="273"/>
        <v>20178.66887728441</v>
      </c>
      <c r="BR43" s="48">
        <f t="shared" si="273"/>
        <v>20598.532746136087</v>
      </c>
      <c r="BS43" s="48">
        <f t="shared" si="273"/>
        <v>21029.113457854211</v>
      </c>
      <c r="BT43" s="48">
        <f t="shared" si="273"/>
        <v>21470.713244768296</v>
      </c>
      <c r="BU43" s="48">
        <f t="shared" si="273"/>
        <v>21923.643203803684</v>
      </c>
      <c r="BV43" s="48">
        <f t="shared" si="273"/>
        <v>22388.223560202801</v>
      </c>
      <c r="BW43" s="48">
        <f t="shared" si="273"/>
        <v>22864.783939131994</v>
      </c>
      <c r="BX43" s="48">
        <f t="shared" si="273"/>
        <v>23668.48109459248</v>
      </c>
      <c r="BY43" s="48">
        <f t="shared" si="273"/>
        <v>23786.823500065439</v>
      </c>
      <c r="BZ43" s="48">
        <f t="shared" si="273"/>
        <v>23905.75761756576</v>
      </c>
      <c r="CA43" s="48">
        <f t="shared" si="273"/>
        <v>24025.286405653584</v>
      </c>
      <c r="CB43" s="48">
        <f t="shared" si="273"/>
        <v>24145.412837681848</v>
      </c>
      <c r="CC43" s="48">
        <f t="shared" si="273"/>
        <v>24266.139901870254</v>
      </c>
      <c r="CD43" s="48">
        <f t="shared" si="273"/>
        <v>24387.470601379602</v>
      </c>
      <c r="CE43" s="48">
        <f t="shared" si="273"/>
        <v>24509.407954386497</v>
      </c>
      <c r="CF43" s="48">
        <f t="shared" si="273"/>
        <v>24631.954994158426</v>
      </c>
      <c r="CG43" s="48">
        <f t="shared" si="273"/>
        <v>24755.114769129214</v>
      </c>
      <c r="CH43" s="48">
        <f t="shared" si="273"/>
        <v>24878.890342974861</v>
      </c>
      <c r="CI43" s="48">
        <f t="shared" si="273"/>
        <v>25003.284794689724</v>
      </c>
      <c r="CJ43" s="48">
        <f t="shared" si="273"/>
        <v>25882.15025522307</v>
      </c>
      <c r="CK43" s="48">
        <f t="shared" si="273"/>
        <v>26011.561006499178</v>
      </c>
      <c r="CL43" s="48">
        <f t="shared" si="273"/>
        <v>26141.618811531673</v>
      </c>
      <c r="CM43" s="48">
        <f t="shared" si="273"/>
        <v>26272.326905589325</v>
      </c>
      <c r="CN43" s="48">
        <f t="shared" si="273"/>
        <v>26403.688540117273</v>
      </c>
      <c r="CO43" s="48">
        <f t="shared" si="273"/>
        <v>26535.70698281785</v>
      </c>
      <c r="CP43" s="48">
        <f t="shared" si="273"/>
        <v>26668.385517731935</v>
      </c>
      <c r="CQ43" s="48">
        <f t="shared" si="273"/>
        <v>26801.727445320594</v>
      </c>
      <c r="CR43" s="48">
        <f t="shared" si="273"/>
        <v>26935.736082547191</v>
      </c>
      <c r="CS43" s="48">
        <f t="shared" si="273"/>
        <v>27070.414762959925</v>
      </c>
      <c r="CT43" s="48">
        <f t="shared" si="273"/>
        <v>27205.766836774714</v>
      </c>
      <c r="CU43" s="48">
        <f t="shared" si="273"/>
        <v>27341.795670958592</v>
      </c>
      <c r="CV43" s="48">
        <f t="shared" si="273"/>
        <v>28302.859788792779</v>
      </c>
      <c r="CW43" s="48">
        <f t="shared" si="273"/>
        <v>28444.374087736745</v>
      </c>
      <c r="CX43" s="48">
        <f t="shared" si="273"/>
        <v>28586.595958175421</v>
      </c>
      <c r="CY43" s="48">
        <f t="shared" si="273"/>
        <v>28729.528937966294</v>
      </c>
      <c r="CZ43" s="48">
        <f t="shared" si="273"/>
        <v>28873.17658265612</v>
      </c>
      <c r="DA43" s="48">
        <f t="shared" si="273"/>
        <v>29017.542465569393</v>
      </c>
      <c r="DB43" s="48">
        <f t="shared" si="273"/>
        <v>29162.630177897234</v>
      </c>
      <c r="DC43" s="48">
        <f t="shared" si="273"/>
        <v>29308.443328786714</v>
      </c>
      <c r="DD43" s="48">
        <f t="shared" si="273"/>
        <v>29454.985545430645</v>
      </c>
      <c r="DE43" s="48">
        <f t="shared" si="273"/>
        <v>29602.260473157796</v>
      </c>
      <c r="DF43" s="48">
        <f t="shared" si="273"/>
        <v>29750.271775523586</v>
      </c>
      <c r="DG43" s="48">
        <f t="shared" si="273"/>
        <v>29899.023134401192</v>
      </c>
      <c r="DH43" s="48">
        <f t="shared" si="273"/>
        <v>30949.973797575381</v>
      </c>
      <c r="DI43" s="48">
        <f t="shared" si="273"/>
        <v>31104.723666563259</v>
      </c>
      <c r="DJ43" s="48">
        <f t="shared" si="273"/>
        <v>31260.247284896072</v>
      </c>
      <c r="DK43" s="48">
        <f t="shared" si="273"/>
        <v>31416.548521320554</v>
      </c>
      <c r="DL43" s="48">
        <f t="shared" si="273"/>
        <v>31573.631263927145</v>
      </c>
      <c r="DM43" s="48">
        <f t="shared" si="273"/>
        <v>31731.499420246779</v>
      </c>
      <c r="DN43" s="48">
        <f t="shared" si="273"/>
        <v>31890.156917348013</v>
      </c>
      <c r="DO43" s="48">
        <f t="shared" si="273"/>
        <v>32049.607701934743</v>
      </c>
      <c r="DP43" s="48">
        <f t="shared" si="273"/>
        <v>32209.855740444407</v>
      </c>
      <c r="DQ43" s="48">
        <f t="shared" si="273"/>
        <v>32370.90501914663</v>
      </c>
      <c r="DR43" s="48">
        <f t="shared" si="273"/>
        <v>32532.759544242348</v>
      </c>
      <c r="DS43" s="48">
        <f t="shared" si="273"/>
        <v>32695.423341963557</v>
      </c>
    </row>
    <row r="44" spans="1:123" x14ac:dyDescent="0.35">
      <c r="A44" s="49"/>
      <c r="B44" s="49"/>
    </row>
    <row r="45" spans="1:123" x14ac:dyDescent="0.35">
      <c r="A45" s="51"/>
      <c r="B45" s="51" t="s">
        <v>129</v>
      </c>
    </row>
    <row r="46" spans="1:123" x14ac:dyDescent="0.35">
      <c r="A46" s="49"/>
      <c r="B46" s="49" t="s">
        <v>111</v>
      </c>
      <c r="C46" s="48" cm="1">
        <f t="array" ref="C46">_xlfn.IFS(_xlfn.SINGLE(Month)&lt;ops_start_mo,0,
_xlfn.SINGLE(Month)&gt;=ops_start_mo, employee_count*-average_monthly_salary*POWER(1+inflation_opex, QUOTIENT(_xlfn.SINGLE(Month)-ops_start_mo, 12)))</f>
        <v>0</v>
      </c>
      <c r="D46" s="48" cm="1">
        <f t="array" ref="D46">_xlfn.IFS(_xlfn.SINGLE(Month)&lt;ops_start_mo,0,
_xlfn.SINGLE(Month)&gt;=ops_start_mo, employee_count*-average_monthly_salary*POWER(1+inflation_opex, QUOTIENT(_xlfn.SINGLE(Month)-ops_start_mo, 12)))</f>
        <v>0</v>
      </c>
      <c r="E46" s="48" cm="1">
        <f t="array" ref="E46">_xlfn.IFS(_xlfn.SINGLE(Month)&lt;ops_start_mo,0,
_xlfn.SINGLE(Month)&gt;=ops_start_mo, employee_count*-average_monthly_salary*POWER(1+inflation_opex, QUOTIENT(_xlfn.SINGLE(Month)-ops_start_mo, 12)))</f>
        <v>0</v>
      </c>
      <c r="F46" s="48" cm="1">
        <f t="array" ref="F46">_xlfn.IFS(_xlfn.SINGLE(Month)&lt;ops_start_mo,0,
_xlfn.SINGLE(Month)&gt;=ops_start_mo, employee_count*-average_monthly_salary*POWER(1+inflation_opex, QUOTIENT(_xlfn.SINGLE(Month)-ops_start_mo, 12)))</f>
        <v>0</v>
      </c>
      <c r="G46" s="48" cm="1">
        <f t="array" ref="G46">_xlfn.IFS(_xlfn.SINGLE(Month)&lt;ops_start_mo,0,
_xlfn.SINGLE(Month)&gt;=ops_start_mo, employee_count*-average_monthly_salary*POWER(1+inflation_opex, QUOTIENT(_xlfn.SINGLE(Month)-ops_start_mo, 12)))</f>
        <v>0</v>
      </c>
      <c r="H46" s="48" cm="1">
        <f t="array" ref="H46">_xlfn.IFS(_xlfn.SINGLE(Month)&lt;ops_start_mo,0,
_xlfn.SINGLE(Month)&gt;=ops_start_mo, employee_count*-average_monthly_salary*POWER(1+inflation_opex, QUOTIENT(_xlfn.SINGLE(Month)-ops_start_mo, 12)))</f>
        <v>0</v>
      </c>
      <c r="I46" s="48" cm="1">
        <f t="array" ref="I46">_xlfn.IFS(_xlfn.SINGLE(Month)&lt;ops_start_mo,0,
_xlfn.SINGLE(Month)&gt;=ops_start_mo, employee_count*-average_monthly_salary*POWER(1+inflation_opex, QUOTIENT(_xlfn.SINGLE(Month)-ops_start_mo, 12)))</f>
        <v>0</v>
      </c>
      <c r="J46" s="48" cm="1">
        <f t="array" ref="J46">_xlfn.IFS(_xlfn.SINGLE(Month)&lt;ops_start_mo,0,
_xlfn.SINGLE(Month)&gt;=ops_start_mo, employee_count*-average_monthly_salary*POWER(1+inflation_opex, QUOTIENT(_xlfn.SINGLE(Month)-ops_start_mo, 12)))</f>
        <v>0</v>
      </c>
      <c r="K46" s="48" cm="1">
        <f t="array" ref="K46">_xlfn.IFS(_xlfn.SINGLE(Month)&lt;ops_start_mo,0,
_xlfn.SINGLE(Month)&gt;=ops_start_mo, employee_count*-average_monthly_salary*POWER(1+inflation_opex, QUOTIENT(_xlfn.SINGLE(Month)-ops_start_mo, 12)))</f>
        <v>0</v>
      </c>
      <c r="L46" s="48" cm="1">
        <f t="array" ref="L46">_xlfn.IFS(_xlfn.SINGLE(Month)&lt;ops_start_mo,0,
_xlfn.SINGLE(Month)&gt;=ops_start_mo, employee_count*-average_monthly_salary*POWER(1+inflation_opex, QUOTIENT(_xlfn.SINGLE(Month)-ops_start_mo, 12)))</f>
        <v>0</v>
      </c>
      <c r="M46" s="48" cm="1">
        <f t="array" ref="M46">_xlfn.IFS(_xlfn.SINGLE(Month)&lt;ops_start_mo,0,
_xlfn.SINGLE(Month)&gt;=ops_start_mo, employee_count*-average_monthly_salary*POWER(1+inflation_opex, QUOTIENT(_xlfn.SINGLE(Month)-ops_start_mo, 12)))</f>
        <v>0</v>
      </c>
      <c r="N46" s="48" cm="1">
        <f t="array" ref="N46">_xlfn.IFS(_xlfn.SINGLE(Month)&lt;ops_start_mo,0,
_xlfn.SINGLE(Month)&gt;=ops_start_mo, employee_count*-average_monthly_salary*POWER(1+inflation_opex, QUOTIENT(_xlfn.SINGLE(Month)-ops_start_mo, 12)))</f>
        <v>0</v>
      </c>
      <c r="O46" s="48" cm="1">
        <f t="array" ref="O46">_xlfn.IFS(_xlfn.SINGLE(Month)&lt;ops_start_mo,0,
_xlfn.SINGLE(Month)&gt;=ops_start_mo, employee_count*-average_monthly_salary*POWER(1+inflation_opex, QUOTIENT(_xlfn.SINGLE(Month)-ops_start_mo, 12)))</f>
        <v>0</v>
      </c>
      <c r="P46" s="48" cm="1">
        <f t="array" ref="P46">_xlfn.IFS(_xlfn.SINGLE(Month)&lt;ops_start_mo,0,
_xlfn.SINGLE(Month)&gt;=ops_start_mo, employee_count*-average_monthly_salary*POWER(1+inflation_opex, QUOTIENT(_xlfn.SINGLE(Month)-ops_start_mo, 12)))</f>
        <v>-22500</v>
      </c>
      <c r="Q46" s="48" cm="1">
        <f t="array" ref="Q46">_xlfn.IFS(_xlfn.SINGLE(Month)&lt;ops_start_mo,0,
_xlfn.SINGLE(Month)&gt;=ops_start_mo, employee_count*-average_monthly_salary*POWER(1+inflation_opex, QUOTIENT(_xlfn.SINGLE(Month)-ops_start_mo, 12)))</f>
        <v>-22500</v>
      </c>
      <c r="R46" s="48" cm="1">
        <f t="array" ref="R46">_xlfn.IFS(_xlfn.SINGLE(Month)&lt;ops_start_mo,0,
_xlfn.SINGLE(Month)&gt;=ops_start_mo, employee_count*-average_monthly_salary*POWER(1+inflation_opex, QUOTIENT(_xlfn.SINGLE(Month)-ops_start_mo, 12)))</f>
        <v>-22500</v>
      </c>
      <c r="S46" s="48" cm="1">
        <f t="array" ref="S46">_xlfn.IFS(_xlfn.SINGLE(Month)&lt;ops_start_mo,0,
_xlfn.SINGLE(Month)&gt;=ops_start_mo, employee_count*-average_monthly_salary*POWER(1+inflation_opex, QUOTIENT(_xlfn.SINGLE(Month)-ops_start_mo, 12)))</f>
        <v>-22500</v>
      </c>
      <c r="T46" s="48" cm="1">
        <f t="array" ref="T46">_xlfn.IFS(_xlfn.SINGLE(Month)&lt;ops_start_mo,0,
_xlfn.SINGLE(Month)&gt;=ops_start_mo, employee_count*-average_monthly_salary*POWER(1+inflation_opex, QUOTIENT(_xlfn.SINGLE(Month)-ops_start_mo, 12)))</f>
        <v>-22500</v>
      </c>
      <c r="U46" s="48" cm="1">
        <f t="array" ref="U46">_xlfn.IFS(_xlfn.SINGLE(Month)&lt;ops_start_mo,0,
_xlfn.SINGLE(Month)&gt;=ops_start_mo, employee_count*-average_monthly_salary*POWER(1+inflation_opex, QUOTIENT(_xlfn.SINGLE(Month)-ops_start_mo, 12)))</f>
        <v>-22500</v>
      </c>
      <c r="V46" s="48" cm="1">
        <f t="array" ref="V46">_xlfn.IFS(_xlfn.SINGLE(Month)&lt;ops_start_mo,0,
_xlfn.SINGLE(Month)&gt;=ops_start_mo, employee_count*-average_monthly_salary*POWER(1+inflation_opex, QUOTIENT(_xlfn.SINGLE(Month)-ops_start_mo, 12)))</f>
        <v>-22500</v>
      </c>
      <c r="W46" s="48" cm="1">
        <f t="array" ref="W46">_xlfn.IFS(_xlfn.SINGLE(Month)&lt;ops_start_mo,0,
_xlfn.SINGLE(Month)&gt;=ops_start_mo, employee_count*-average_monthly_salary*POWER(1+inflation_opex, QUOTIENT(_xlfn.SINGLE(Month)-ops_start_mo, 12)))</f>
        <v>-22500</v>
      </c>
      <c r="X46" s="48" cm="1">
        <f t="array" ref="X46">_xlfn.IFS(_xlfn.SINGLE(Month)&lt;ops_start_mo,0,
_xlfn.SINGLE(Month)&gt;=ops_start_mo, employee_count*-average_monthly_salary*POWER(1+inflation_opex, QUOTIENT(_xlfn.SINGLE(Month)-ops_start_mo, 12)))</f>
        <v>-22500</v>
      </c>
      <c r="Y46" s="48" cm="1">
        <f t="array" ref="Y46">_xlfn.IFS(_xlfn.SINGLE(Month)&lt;ops_start_mo,0,
_xlfn.SINGLE(Month)&gt;=ops_start_mo, employee_count*-average_monthly_salary*POWER(1+inflation_opex, QUOTIENT(_xlfn.SINGLE(Month)-ops_start_mo, 12)))</f>
        <v>-22500</v>
      </c>
      <c r="Z46" s="48" cm="1">
        <f t="array" ref="Z46">_xlfn.IFS(_xlfn.SINGLE(Month)&lt;ops_start_mo,0,
_xlfn.SINGLE(Month)&gt;=ops_start_mo, employee_count*-average_monthly_salary*POWER(1+inflation_opex, QUOTIENT(_xlfn.SINGLE(Month)-ops_start_mo, 12)))</f>
        <v>-22500</v>
      </c>
      <c r="AA46" s="48" cm="1">
        <f t="array" ref="AA46">_xlfn.IFS(_xlfn.SINGLE(Month)&lt;ops_start_mo,0,
_xlfn.SINGLE(Month)&gt;=ops_start_mo, employee_count*-average_monthly_salary*POWER(1+inflation_opex, QUOTIENT(_xlfn.SINGLE(Month)-ops_start_mo, 12)))</f>
        <v>-22500</v>
      </c>
      <c r="AB46" s="48" cm="1">
        <f t="array" ref="AB46">_xlfn.IFS(_xlfn.SINGLE(Month)&lt;ops_start_mo,0,
_xlfn.SINGLE(Month)&gt;=ops_start_mo, employee_count*-average_monthly_salary*POWER(1+inflation_opex, QUOTIENT(_xlfn.SINGLE(Month)-ops_start_mo, 12)))</f>
        <v>-23062.499999999996</v>
      </c>
      <c r="AC46" s="48" cm="1">
        <f t="array" ref="AC46">_xlfn.IFS(_xlfn.SINGLE(Month)&lt;ops_start_mo,0,
_xlfn.SINGLE(Month)&gt;=ops_start_mo, employee_count*-average_monthly_salary*POWER(1+inflation_opex, QUOTIENT(_xlfn.SINGLE(Month)-ops_start_mo, 12)))</f>
        <v>-23062.499999999996</v>
      </c>
      <c r="AD46" s="48" cm="1">
        <f t="array" ref="AD46">_xlfn.IFS(_xlfn.SINGLE(Month)&lt;ops_start_mo,0,
_xlfn.SINGLE(Month)&gt;=ops_start_mo, employee_count*-average_monthly_salary*POWER(1+inflation_opex, QUOTIENT(_xlfn.SINGLE(Month)-ops_start_mo, 12)))</f>
        <v>-23062.499999999996</v>
      </c>
      <c r="AE46" s="48" cm="1">
        <f t="array" ref="AE46">_xlfn.IFS(_xlfn.SINGLE(Month)&lt;ops_start_mo,0,
_xlfn.SINGLE(Month)&gt;=ops_start_mo, employee_count*-average_monthly_salary*POWER(1+inflation_opex, QUOTIENT(_xlfn.SINGLE(Month)-ops_start_mo, 12)))</f>
        <v>-23062.499999999996</v>
      </c>
      <c r="AF46" s="48" cm="1">
        <f t="array" ref="AF46">_xlfn.IFS(_xlfn.SINGLE(Month)&lt;ops_start_mo,0,
_xlfn.SINGLE(Month)&gt;=ops_start_mo, employee_count*-average_monthly_salary*POWER(1+inflation_opex, QUOTIENT(_xlfn.SINGLE(Month)-ops_start_mo, 12)))</f>
        <v>-23062.499999999996</v>
      </c>
      <c r="AG46" s="48" cm="1">
        <f t="array" ref="AG46">_xlfn.IFS(_xlfn.SINGLE(Month)&lt;ops_start_mo,0,
_xlfn.SINGLE(Month)&gt;=ops_start_mo, employee_count*-average_monthly_salary*POWER(1+inflation_opex, QUOTIENT(_xlfn.SINGLE(Month)-ops_start_mo, 12)))</f>
        <v>-23062.499999999996</v>
      </c>
      <c r="AH46" s="48" cm="1">
        <f t="array" ref="AH46">_xlfn.IFS(_xlfn.SINGLE(Month)&lt;ops_start_mo,0,
_xlfn.SINGLE(Month)&gt;=ops_start_mo, employee_count*-average_monthly_salary*POWER(1+inflation_opex, QUOTIENT(_xlfn.SINGLE(Month)-ops_start_mo, 12)))</f>
        <v>-23062.499999999996</v>
      </c>
      <c r="AI46" s="48" cm="1">
        <f t="array" ref="AI46">_xlfn.IFS(_xlfn.SINGLE(Month)&lt;ops_start_mo,0,
_xlfn.SINGLE(Month)&gt;=ops_start_mo, employee_count*-average_monthly_salary*POWER(1+inflation_opex, QUOTIENT(_xlfn.SINGLE(Month)-ops_start_mo, 12)))</f>
        <v>-23062.499999999996</v>
      </c>
      <c r="AJ46" s="48" cm="1">
        <f t="array" ref="AJ46">_xlfn.IFS(_xlfn.SINGLE(Month)&lt;ops_start_mo,0,
_xlfn.SINGLE(Month)&gt;=ops_start_mo, employee_count*-average_monthly_salary*POWER(1+inflation_opex, QUOTIENT(_xlfn.SINGLE(Month)-ops_start_mo, 12)))</f>
        <v>-23062.499999999996</v>
      </c>
      <c r="AK46" s="48" cm="1">
        <f t="array" ref="AK46">_xlfn.IFS(_xlfn.SINGLE(Month)&lt;ops_start_mo,0,
_xlfn.SINGLE(Month)&gt;=ops_start_mo, employee_count*-average_monthly_salary*POWER(1+inflation_opex, QUOTIENT(_xlfn.SINGLE(Month)-ops_start_mo, 12)))</f>
        <v>-23062.499999999996</v>
      </c>
      <c r="AL46" s="48" cm="1">
        <f t="array" ref="AL46">_xlfn.IFS(_xlfn.SINGLE(Month)&lt;ops_start_mo,0,
_xlfn.SINGLE(Month)&gt;=ops_start_mo, employee_count*-average_monthly_salary*POWER(1+inflation_opex, QUOTIENT(_xlfn.SINGLE(Month)-ops_start_mo, 12)))</f>
        <v>-23062.499999999996</v>
      </c>
      <c r="AM46" s="48" cm="1">
        <f t="array" ref="AM46">_xlfn.IFS(_xlfn.SINGLE(Month)&lt;ops_start_mo,0,
_xlfn.SINGLE(Month)&gt;=ops_start_mo, employee_count*-average_monthly_salary*POWER(1+inflation_opex, QUOTIENT(_xlfn.SINGLE(Month)-ops_start_mo, 12)))</f>
        <v>-23062.499999999996</v>
      </c>
      <c r="AN46" s="48" cm="1">
        <f t="array" ref="AN46">_xlfn.IFS(_xlfn.SINGLE(Month)&lt;ops_start_mo,0,
_xlfn.SINGLE(Month)&gt;=ops_start_mo, employee_count*-average_monthly_salary*POWER(1+inflation_opex, QUOTIENT(_xlfn.SINGLE(Month)-ops_start_mo, 12)))</f>
        <v>-23639.0625</v>
      </c>
      <c r="AO46" s="48" cm="1">
        <f t="array" ref="AO46">_xlfn.IFS(_xlfn.SINGLE(Month)&lt;ops_start_mo,0,
_xlfn.SINGLE(Month)&gt;=ops_start_mo, employee_count*-average_monthly_salary*POWER(1+inflation_opex, QUOTIENT(_xlfn.SINGLE(Month)-ops_start_mo, 12)))</f>
        <v>-23639.0625</v>
      </c>
      <c r="AP46" s="48" cm="1">
        <f t="array" ref="AP46">_xlfn.IFS(_xlfn.SINGLE(Month)&lt;ops_start_mo,0,
_xlfn.SINGLE(Month)&gt;=ops_start_mo, employee_count*-average_monthly_salary*POWER(1+inflation_opex, QUOTIENT(_xlfn.SINGLE(Month)-ops_start_mo, 12)))</f>
        <v>-23639.0625</v>
      </c>
      <c r="AQ46" s="48" cm="1">
        <f t="array" ref="AQ46">_xlfn.IFS(_xlfn.SINGLE(Month)&lt;ops_start_mo,0,
_xlfn.SINGLE(Month)&gt;=ops_start_mo, employee_count*-average_monthly_salary*POWER(1+inflation_opex, QUOTIENT(_xlfn.SINGLE(Month)-ops_start_mo, 12)))</f>
        <v>-23639.0625</v>
      </c>
      <c r="AR46" s="48" cm="1">
        <f t="array" ref="AR46">_xlfn.IFS(_xlfn.SINGLE(Month)&lt;ops_start_mo,0,
_xlfn.SINGLE(Month)&gt;=ops_start_mo, employee_count*-average_monthly_salary*POWER(1+inflation_opex, QUOTIENT(_xlfn.SINGLE(Month)-ops_start_mo, 12)))</f>
        <v>-23639.0625</v>
      </c>
      <c r="AS46" s="48" cm="1">
        <f t="array" ref="AS46">_xlfn.IFS(_xlfn.SINGLE(Month)&lt;ops_start_mo,0,
_xlfn.SINGLE(Month)&gt;=ops_start_mo, employee_count*-average_monthly_salary*POWER(1+inflation_opex, QUOTIENT(_xlfn.SINGLE(Month)-ops_start_mo, 12)))</f>
        <v>-23639.0625</v>
      </c>
      <c r="AT46" s="48" cm="1">
        <f t="array" ref="AT46">_xlfn.IFS(_xlfn.SINGLE(Month)&lt;ops_start_mo,0,
_xlfn.SINGLE(Month)&gt;=ops_start_mo, employee_count*-average_monthly_salary*POWER(1+inflation_opex, QUOTIENT(_xlfn.SINGLE(Month)-ops_start_mo, 12)))</f>
        <v>-23639.0625</v>
      </c>
      <c r="AU46" s="48" cm="1">
        <f t="array" ref="AU46">_xlfn.IFS(_xlfn.SINGLE(Month)&lt;ops_start_mo,0,
_xlfn.SINGLE(Month)&gt;=ops_start_mo, employee_count*-average_monthly_salary*POWER(1+inflation_opex, QUOTIENT(_xlfn.SINGLE(Month)-ops_start_mo, 12)))</f>
        <v>-23639.0625</v>
      </c>
      <c r="AV46" s="48" cm="1">
        <f t="array" ref="AV46">_xlfn.IFS(_xlfn.SINGLE(Month)&lt;ops_start_mo,0,
_xlfn.SINGLE(Month)&gt;=ops_start_mo, employee_count*-average_monthly_salary*POWER(1+inflation_opex, QUOTIENT(_xlfn.SINGLE(Month)-ops_start_mo, 12)))</f>
        <v>-23639.0625</v>
      </c>
      <c r="AW46" s="48" cm="1">
        <f t="array" ref="AW46">_xlfn.IFS(_xlfn.SINGLE(Month)&lt;ops_start_mo,0,
_xlfn.SINGLE(Month)&gt;=ops_start_mo, employee_count*-average_monthly_salary*POWER(1+inflation_opex, QUOTIENT(_xlfn.SINGLE(Month)-ops_start_mo, 12)))</f>
        <v>-23639.0625</v>
      </c>
      <c r="AX46" s="48" cm="1">
        <f t="array" ref="AX46">_xlfn.IFS(_xlfn.SINGLE(Month)&lt;ops_start_mo,0,
_xlfn.SINGLE(Month)&gt;=ops_start_mo, employee_count*-average_monthly_salary*POWER(1+inflation_opex, QUOTIENT(_xlfn.SINGLE(Month)-ops_start_mo, 12)))</f>
        <v>-23639.0625</v>
      </c>
      <c r="AY46" s="48" cm="1">
        <f t="array" ref="AY46">_xlfn.IFS(_xlfn.SINGLE(Month)&lt;ops_start_mo,0,
_xlfn.SINGLE(Month)&gt;=ops_start_mo, employee_count*-average_monthly_salary*POWER(1+inflation_opex, QUOTIENT(_xlfn.SINGLE(Month)-ops_start_mo, 12)))</f>
        <v>-23639.0625</v>
      </c>
      <c r="AZ46" s="48" cm="1">
        <f t="array" ref="AZ46">_xlfn.IFS(_xlfn.SINGLE(Month)&lt;ops_start_mo,0,
_xlfn.SINGLE(Month)&gt;=ops_start_mo, employee_count*-average_monthly_salary*POWER(1+inflation_opex, QUOTIENT(_xlfn.SINGLE(Month)-ops_start_mo, 12)))</f>
        <v>-24230.039062499996</v>
      </c>
      <c r="BA46" s="48" cm="1">
        <f t="array" ref="BA46">_xlfn.IFS(_xlfn.SINGLE(Month)&lt;ops_start_mo,0,
_xlfn.SINGLE(Month)&gt;=ops_start_mo, employee_count*-average_monthly_salary*POWER(1+inflation_opex, QUOTIENT(_xlfn.SINGLE(Month)-ops_start_mo, 12)))</f>
        <v>-24230.039062499996</v>
      </c>
      <c r="BB46" s="48" cm="1">
        <f t="array" ref="BB46">_xlfn.IFS(_xlfn.SINGLE(Month)&lt;ops_start_mo,0,
_xlfn.SINGLE(Month)&gt;=ops_start_mo, employee_count*-average_monthly_salary*POWER(1+inflation_opex, QUOTIENT(_xlfn.SINGLE(Month)-ops_start_mo, 12)))</f>
        <v>-24230.039062499996</v>
      </c>
      <c r="BC46" s="48" cm="1">
        <f t="array" ref="BC46">_xlfn.IFS(_xlfn.SINGLE(Month)&lt;ops_start_mo,0,
_xlfn.SINGLE(Month)&gt;=ops_start_mo, employee_count*-average_monthly_salary*POWER(1+inflation_opex, QUOTIENT(_xlfn.SINGLE(Month)-ops_start_mo, 12)))</f>
        <v>-24230.039062499996</v>
      </c>
      <c r="BD46" s="48" cm="1">
        <f t="array" ref="BD46">_xlfn.IFS(_xlfn.SINGLE(Month)&lt;ops_start_mo,0,
_xlfn.SINGLE(Month)&gt;=ops_start_mo, employee_count*-average_monthly_salary*POWER(1+inflation_opex, QUOTIENT(_xlfn.SINGLE(Month)-ops_start_mo, 12)))</f>
        <v>-24230.039062499996</v>
      </c>
      <c r="BE46" s="48" cm="1">
        <f t="array" ref="BE46">_xlfn.IFS(_xlfn.SINGLE(Month)&lt;ops_start_mo,0,
_xlfn.SINGLE(Month)&gt;=ops_start_mo, employee_count*-average_monthly_salary*POWER(1+inflation_opex, QUOTIENT(_xlfn.SINGLE(Month)-ops_start_mo, 12)))</f>
        <v>-24230.039062499996</v>
      </c>
      <c r="BF46" s="48" cm="1">
        <f t="array" ref="BF46">_xlfn.IFS(_xlfn.SINGLE(Month)&lt;ops_start_mo,0,
_xlfn.SINGLE(Month)&gt;=ops_start_mo, employee_count*-average_monthly_salary*POWER(1+inflation_opex, QUOTIENT(_xlfn.SINGLE(Month)-ops_start_mo, 12)))</f>
        <v>-24230.039062499996</v>
      </c>
      <c r="BG46" s="48" cm="1">
        <f t="array" ref="BG46">_xlfn.IFS(_xlfn.SINGLE(Month)&lt;ops_start_mo,0,
_xlfn.SINGLE(Month)&gt;=ops_start_mo, employee_count*-average_monthly_salary*POWER(1+inflation_opex, QUOTIENT(_xlfn.SINGLE(Month)-ops_start_mo, 12)))</f>
        <v>-24230.039062499996</v>
      </c>
      <c r="BH46" s="48" cm="1">
        <f t="array" ref="BH46">_xlfn.IFS(_xlfn.SINGLE(Month)&lt;ops_start_mo,0,
_xlfn.SINGLE(Month)&gt;=ops_start_mo, employee_count*-average_monthly_salary*POWER(1+inflation_opex, QUOTIENT(_xlfn.SINGLE(Month)-ops_start_mo, 12)))</f>
        <v>-24230.039062499996</v>
      </c>
      <c r="BI46" s="48" cm="1">
        <f t="array" ref="BI46">_xlfn.IFS(_xlfn.SINGLE(Month)&lt;ops_start_mo,0,
_xlfn.SINGLE(Month)&gt;=ops_start_mo, employee_count*-average_monthly_salary*POWER(1+inflation_opex, QUOTIENT(_xlfn.SINGLE(Month)-ops_start_mo, 12)))</f>
        <v>-24230.039062499996</v>
      </c>
      <c r="BJ46" s="48" cm="1">
        <f t="array" ref="BJ46">_xlfn.IFS(_xlfn.SINGLE(Month)&lt;ops_start_mo,0,
_xlfn.SINGLE(Month)&gt;=ops_start_mo, employee_count*-average_monthly_salary*POWER(1+inflation_opex, QUOTIENT(_xlfn.SINGLE(Month)-ops_start_mo, 12)))</f>
        <v>-24230.039062499996</v>
      </c>
      <c r="BK46" s="48" cm="1">
        <f t="array" ref="BK46">_xlfn.IFS(_xlfn.SINGLE(Month)&lt;ops_start_mo,0,
_xlfn.SINGLE(Month)&gt;=ops_start_mo, employee_count*-average_monthly_salary*POWER(1+inflation_opex, QUOTIENT(_xlfn.SINGLE(Month)-ops_start_mo, 12)))</f>
        <v>-24230.039062499996</v>
      </c>
      <c r="BL46" s="48" cm="1">
        <f t="array" ref="BL46">_xlfn.IFS(_xlfn.SINGLE(Month)&lt;ops_start_mo,0,
_xlfn.SINGLE(Month)&gt;=ops_start_mo, employee_count*-average_monthly_salary*POWER(1+inflation_opex, QUOTIENT(_xlfn.SINGLE(Month)-ops_start_mo, 12)))</f>
        <v>-24835.790039062496</v>
      </c>
      <c r="BM46" s="48" cm="1">
        <f t="array" ref="BM46">_xlfn.IFS(_xlfn.SINGLE(Month)&lt;ops_start_mo,0,
_xlfn.SINGLE(Month)&gt;=ops_start_mo, employee_count*-average_monthly_salary*POWER(1+inflation_opex, QUOTIENT(_xlfn.SINGLE(Month)-ops_start_mo, 12)))</f>
        <v>-24835.790039062496</v>
      </c>
      <c r="BN46" s="48" cm="1">
        <f t="array" ref="BN46">_xlfn.IFS(_xlfn.SINGLE(Month)&lt;ops_start_mo,0,
_xlfn.SINGLE(Month)&gt;=ops_start_mo, employee_count*-average_monthly_salary*POWER(1+inflation_opex, QUOTIENT(_xlfn.SINGLE(Month)-ops_start_mo, 12)))</f>
        <v>-24835.790039062496</v>
      </c>
      <c r="BO46" s="48" cm="1">
        <f t="array" ref="BO46">_xlfn.IFS(_xlfn.SINGLE(Month)&lt;ops_start_mo,0,
_xlfn.SINGLE(Month)&gt;=ops_start_mo, employee_count*-average_monthly_salary*POWER(1+inflation_opex, QUOTIENT(_xlfn.SINGLE(Month)-ops_start_mo, 12)))</f>
        <v>-24835.790039062496</v>
      </c>
      <c r="BP46" s="48" cm="1">
        <f t="array" ref="BP46">_xlfn.IFS(_xlfn.SINGLE(Month)&lt;ops_start_mo,0,
_xlfn.SINGLE(Month)&gt;=ops_start_mo, employee_count*-average_monthly_salary*POWER(1+inflation_opex, QUOTIENT(_xlfn.SINGLE(Month)-ops_start_mo, 12)))</f>
        <v>-24835.790039062496</v>
      </c>
      <c r="BQ46" s="48" cm="1">
        <f t="array" ref="BQ46">_xlfn.IFS(_xlfn.SINGLE(Month)&lt;ops_start_mo,0,
_xlfn.SINGLE(Month)&gt;=ops_start_mo, employee_count*-average_monthly_salary*POWER(1+inflation_opex, QUOTIENT(_xlfn.SINGLE(Month)-ops_start_mo, 12)))</f>
        <v>-24835.790039062496</v>
      </c>
      <c r="BR46" s="48" cm="1">
        <f t="array" ref="BR46">_xlfn.IFS(_xlfn.SINGLE(Month)&lt;ops_start_mo,0,
_xlfn.SINGLE(Month)&gt;=ops_start_mo, employee_count*-average_monthly_salary*POWER(1+inflation_opex, QUOTIENT(_xlfn.SINGLE(Month)-ops_start_mo, 12)))</f>
        <v>-24835.790039062496</v>
      </c>
      <c r="BS46" s="48" cm="1">
        <f t="array" ref="BS46">_xlfn.IFS(_xlfn.SINGLE(Month)&lt;ops_start_mo,0,
_xlfn.SINGLE(Month)&gt;=ops_start_mo, employee_count*-average_monthly_salary*POWER(1+inflation_opex, QUOTIENT(_xlfn.SINGLE(Month)-ops_start_mo, 12)))</f>
        <v>-24835.790039062496</v>
      </c>
      <c r="BT46" s="48" cm="1">
        <f t="array" ref="BT46">_xlfn.IFS(_xlfn.SINGLE(Month)&lt;ops_start_mo,0,
_xlfn.SINGLE(Month)&gt;=ops_start_mo, employee_count*-average_monthly_salary*POWER(1+inflation_opex, QUOTIENT(_xlfn.SINGLE(Month)-ops_start_mo, 12)))</f>
        <v>-24835.790039062496</v>
      </c>
      <c r="BU46" s="48" cm="1">
        <f t="array" ref="BU46">_xlfn.IFS(_xlfn.SINGLE(Month)&lt;ops_start_mo,0,
_xlfn.SINGLE(Month)&gt;=ops_start_mo, employee_count*-average_monthly_salary*POWER(1+inflation_opex, QUOTIENT(_xlfn.SINGLE(Month)-ops_start_mo, 12)))</f>
        <v>-24835.790039062496</v>
      </c>
      <c r="BV46" s="48" cm="1">
        <f t="array" ref="BV46">_xlfn.IFS(_xlfn.SINGLE(Month)&lt;ops_start_mo,0,
_xlfn.SINGLE(Month)&gt;=ops_start_mo, employee_count*-average_monthly_salary*POWER(1+inflation_opex, QUOTIENT(_xlfn.SINGLE(Month)-ops_start_mo, 12)))</f>
        <v>-24835.790039062496</v>
      </c>
      <c r="BW46" s="48" cm="1">
        <f t="array" ref="BW46">_xlfn.IFS(_xlfn.SINGLE(Month)&lt;ops_start_mo,0,
_xlfn.SINGLE(Month)&gt;=ops_start_mo, employee_count*-average_monthly_salary*POWER(1+inflation_opex, QUOTIENT(_xlfn.SINGLE(Month)-ops_start_mo, 12)))</f>
        <v>-24835.790039062496</v>
      </c>
      <c r="BX46" s="48" cm="1">
        <f t="array" ref="BX46">_xlfn.IFS(_xlfn.SINGLE(Month)&lt;ops_start_mo,0,
_xlfn.SINGLE(Month)&gt;=ops_start_mo, employee_count*-average_monthly_salary*POWER(1+inflation_opex, QUOTIENT(_xlfn.SINGLE(Month)-ops_start_mo, 12)))</f>
        <v>-25456.684790039053</v>
      </c>
      <c r="BY46" s="48" cm="1">
        <f t="array" ref="BY46">_xlfn.IFS(_xlfn.SINGLE(Month)&lt;ops_start_mo,0,
_xlfn.SINGLE(Month)&gt;=ops_start_mo, employee_count*-average_monthly_salary*POWER(1+inflation_opex, QUOTIENT(_xlfn.SINGLE(Month)-ops_start_mo, 12)))</f>
        <v>-25456.684790039053</v>
      </c>
      <c r="BZ46" s="48" cm="1">
        <f t="array" ref="BZ46">_xlfn.IFS(_xlfn.SINGLE(Month)&lt;ops_start_mo,0,
_xlfn.SINGLE(Month)&gt;=ops_start_mo, employee_count*-average_monthly_salary*POWER(1+inflation_opex, QUOTIENT(_xlfn.SINGLE(Month)-ops_start_mo, 12)))</f>
        <v>-25456.684790039053</v>
      </c>
      <c r="CA46" s="48" cm="1">
        <f t="array" ref="CA46">_xlfn.IFS(_xlfn.SINGLE(Month)&lt;ops_start_mo,0,
_xlfn.SINGLE(Month)&gt;=ops_start_mo, employee_count*-average_monthly_salary*POWER(1+inflation_opex, QUOTIENT(_xlfn.SINGLE(Month)-ops_start_mo, 12)))</f>
        <v>-25456.684790039053</v>
      </c>
      <c r="CB46" s="48" cm="1">
        <f t="array" ref="CB46">_xlfn.IFS(_xlfn.SINGLE(Month)&lt;ops_start_mo,0,
_xlfn.SINGLE(Month)&gt;=ops_start_mo, employee_count*-average_monthly_salary*POWER(1+inflation_opex, QUOTIENT(_xlfn.SINGLE(Month)-ops_start_mo, 12)))</f>
        <v>-25456.684790039053</v>
      </c>
      <c r="CC46" s="48" cm="1">
        <f t="array" ref="CC46">_xlfn.IFS(_xlfn.SINGLE(Month)&lt;ops_start_mo,0,
_xlfn.SINGLE(Month)&gt;=ops_start_mo, employee_count*-average_monthly_salary*POWER(1+inflation_opex, QUOTIENT(_xlfn.SINGLE(Month)-ops_start_mo, 12)))</f>
        <v>-25456.684790039053</v>
      </c>
      <c r="CD46" s="48" cm="1">
        <f t="array" ref="CD46">_xlfn.IFS(_xlfn.SINGLE(Month)&lt;ops_start_mo,0,
_xlfn.SINGLE(Month)&gt;=ops_start_mo, employee_count*-average_monthly_salary*POWER(1+inflation_opex, QUOTIENT(_xlfn.SINGLE(Month)-ops_start_mo, 12)))</f>
        <v>-25456.684790039053</v>
      </c>
      <c r="CE46" s="48" cm="1">
        <f t="array" ref="CE46">_xlfn.IFS(_xlfn.SINGLE(Month)&lt;ops_start_mo,0,
_xlfn.SINGLE(Month)&gt;=ops_start_mo, employee_count*-average_monthly_salary*POWER(1+inflation_opex, QUOTIENT(_xlfn.SINGLE(Month)-ops_start_mo, 12)))</f>
        <v>-25456.684790039053</v>
      </c>
      <c r="CF46" s="48" cm="1">
        <f t="array" ref="CF46">_xlfn.IFS(_xlfn.SINGLE(Month)&lt;ops_start_mo,0,
_xlfn.SINGLE(Month)&gt;=ops_start_mo, employee_count*-average_monthly_salary*POWER(1+inflation_opex, QUOTIENT(_xlfn.SINGLE(Month)-ops_start_mo, 12)))</f>
        <v>-25456.684790039053</v>
      </c>
      <c r="CG46" s="48" cm="1">
        <f t="array" ref="CG46">_xlfn.IFS(_xlfn.SINGLE(Month)&lt;ops_start_mo,0,
_xlfn.SINGLE(Month)&gt;=ops_start_mo, employee_count*-average_monthly_salary*POWER(1+inflation_opex, QUOTIENT(_xlfn.SINGLE(Month)-ops_start_mo, 12)))</f>
        <v>-25456.684790039053</v>
      </c>
      <c r="CH46" s="48" cm="1">
        <f t="array" ref="CH46">_xlfn.IFS(_xlfn.SINGLE(Month)&lt;ops_start_mo,0,
_xlfn.SINGLE(Month)&gt;=ops_start_mo, employee_count*-average_monthly_salary*POWER(1+inflation_opex, QUOTIENT(_xlfn.SINGLE(Month)-ops_start_mo, 12)))</f>
        <v>-25456.684790039053</v>
      </c>
      <c r="CI46" s="48" cm="1">
        <f t="array" ref="CI46">_xlfn.IFS(_xlfn.SINGLE(Month)&lt;ops_start_mo,0,
_xlfn.SINGLE(Month)&gt;=ops_start_mo, employee_count*-average_monthly_salary*POWER(1+inflation_opex, QUOTIENT(_xlfn.SINGLE(Month)-ops_start_mo, 12)))</f>
        <v>-25456.684790039053</v>
      </c>
      <c r="CJ46" s="48" cm="1">
        <f t="array" ref="CJ46">_xlfn.IFS(_xlfn.SINGLE(Month)&lt;ops_start_mo,0,
_xlfn.SINGLE(Month)&gt;=ops_start_mo, employee_count*-average_monthly_salary*POWER(1+inflation_opex, QUOTIENT(_xlfn.SINGLE(Month)-ops_start_mo, 12)))</f>
        <v>-26093.101909790028</v>
      </c>
      <c r="CK46" s="48" cm="1">
        <f t="array" ref="CK46">_xlfn.IFS(_xlfn.SINGLE(Month)&lt;ops_start_mo,0,
_xlfn.SINGLE(Month)&gt;=ops_start_mo, employee_count*-average_monthly_salary*POWER(1+inflation_opex, QUOTIENT(_xlfn.SINGLE(Month)-ops_start_mo, 12)))</f>
        <v>-26093.101909790028</v>
      </c>
      <c r="CL46" s="48" cm="1">
        <f t="array" ref="CL46">_xlfn.IFS(_xlfn.SINGLE(Month)&lt;ops_start_mo,0,
_xlfn.SINGLE(Month)&gt;=ops_start_mo, employee_count*-average_monthly_salary*POWER(1+inflation_opex, QUOTIENT(_xlfn.SINGLE(Month)-ops_start_mo, 12)))</f>
        <v>-26093.101909790028</v>
      </c>
      <c r="CM46" s="48" cm="1">
        <f t="array" ref="CM46">_xlfn.IFS(_xlfn.SINGLE(Month)&lt;ops_start_mo,0,
_xlfn.SINGLE(Month)&gt;=ops_start_mo, employee_count*-average_monthly_salary*POWER(1+inflation_opex, QUOTIENT(_xlfn.SINGLE(Month)-ops_start_mo, 12)))</f>
        <v>-26093.101909790028</v>
      </c>
      <c r="CN46" s="48" cm="1">
        <f t="array" ref="CN46">_xlfn.IFS(_xlfn.SINGLE(Month)&lt;ops_start_mo,0,
_xlfn.SINGLE(Month)&gt;=ops_start_mo, employee_count*-average_monthly_salary*POWER(1+inflation_opex, QUOTIENT(_xlfn.SINGLE(Month)-ops_start_mo, 12)))</f>
        <v>-26093.101909790028</v>
      </c>
      <c r="CO46" s="48" cm="1">
        <f t="array" ref="CO46">_xlfn.IFS(_xlfn.SINGLE(Month)&lt;ops_start_mo,0,
_xlfn.SINGLE(Month)&gt;=ops_start_mo, employee_count*-average_monthly_salary*POWER(1+inflation_opex, QUOTIENT(_xlfn.SINGLE(Month)-ops_start_mo, 12)))</f>
        <v>-26093.101909790028</v>
      </c>
      <c r="CP46" s="48" cm="1">
        <f t="array" ref="CP46">_xlfn.IFS(_xlfn.SINGLE(Month)&lt;ops_start_mo,0,
_xlfn.SINGLE(Month)&gt;=ops_start_mo, employee_count*-average_monthly_salary*POWER(1+inflation_opex, QUOTIENT(_xlfn.SINGLE(Month)-ops_start_mo, 12)))</f>
        <v>-26093.101909790028</v>
      </c>
      <c r="CQ46" s="48" cm="1">
        <f t="array" ref="CQ46">_xlfn.IFS(_xlfn.SINGLE(Month)&lt;ops_start_mo,0,
_xlfn.SINGLE(Month)&gt;=ops_start_mo, employee_count*-average_monthly_salary*POWER(1+inflation_opex, QUOTIENT(_xlfn.SINGLE(Month)-ops_start_mo, 12)))</f>
        <v>-26093.101909790028</v>
      </c>
      <c r="CR46" s="48" cm="1">
        <f t="array" ref="CR46">_xlfn.IFS(_xlfn.SINGLE(Month)&lt;ops_start_mo,0,
_xlfn.SINGLE(Month)&gt;=ops_start_mo, employee_count*-average_monthly_salary*POWER(1+inflation_opex, QUOTIENT(_xlfn.SINGLE(Month)-ops_start_mo, 12)))</f>
        <v>-26093.101909790028</v>
      </c>
      <c r="CS46" s="48" cm="1">
        <f t="array" ref="CS46">_xlfn.IFS(_xlfn.SINGLE(Month)&lt;ops_start_mo,0,
_xlfn.SINGLE(Month)&gt;=ops_start_mo, employee_count*-average_monthly_salary*POWER(1+inflation_opex, QUOTIENT(_xlfn.SINGLE(Month)-ops_start_mo, 12)))</f>
        <v>-26093.101909790028</v>
      </c>
      <c r="CT46" s="48" cm="1">
        <f t="array" ref="CT46">_xlfn.IFS(_xlfn.SINGLE(Month)&lt;ops_start_mo,0,
_xlfn.SINGLE(Month)&gt;=ops_start_mo, employee_count*-average_monthly_salary*POWER(1+inflation_opex, QUOTIENT(_xlfn.SINGLE(Month)-ops_start_mo, 12)))</f>
        <v>-26093.101909790028</v>
      </c>
      <c r="CU46" s="48" cm="1">
        <f t="array" ref="CU46">_xlfn.IFS(_xlfn.SINGLE(Month)&lt;ops_start_mo,0,
_xlfn.SINGLE(Month)&gt;=ops_start_mo, employee_count*-average_monthly_salary*POWER(1+inflation_opex, QUOTIENT(_xlfn.SINGLE(Month)-ops_start_mo, 12)))</f>
        <v>-26093.101909790028</v>
      </c>
      <c r="CV46" s="48" cm="1">
        <f t="array" ref="CV46">_xlfn.IFS(_xlfn.SINGLE(Month)&lt;ops_start_mo,0,
_xlfn.SINGLE(Month)&gt;=ops_start_mo, employee_count*-average_monthly_salary*POWER(1+inflation_opex, QUOTIENT(_xlfn.SINGLE(Month)-ops_start_mo, 12)))</f>
        <v>-26745.429457534781</v>
      </c>
      <c r="CW46" s="48" cm="1">
        <f t="array" ref="CW46">_xlfn.IFS(_xlfn.SINGLE(Month)&lt;ops_start_mo,0,
_xlfn.SINGLE(Month)&gt;=ops_start_mo, employee_count*-average_monthly_salary*POWER(1+inflation_opex, QUOTIENT(_xlfn.SINGLE(Month)-ops_start_mo, 12)))</f>
        <v>-26745.429457534781</v>
      </c>
      <c r="CX46" s="48" cm="1">
        <f t="array" ref="CX46">_xlfn.IFS(_xlfn.SINGLE(Month)&lt;ops_start_mo,0,
_xlfn.SINGLE(Month)&gt;=ops_start_mo, employee_count*-average_monthly_salary*POWER(1+inflation_opex, QUOTIENT(_xlfn.SINGLE(Month)-ops_start_mo, 12)))</f>
        <v>-26745.429457534781</v>
      </c>
      <c r="CY46" s="48" cm="1">
        <f t="array" ref="CY46">_xlfn.IFS(_xlfn.SINGLE(Month)&lt;ops_start_mo,0,
_xlfn.SINGLE(Month)&gt;=ops_start_mo, employee_count*-average_monthly_salary*POWER(1+inflation_opex, QUOTIENT(_xlfn.SINGLE(Month)-ops_start_mo, 12)))</f>
        <v>-26745.429457534781</v>
      </c>
      <c r="CZ46" s="48" cm="1">
        <f t="array" ref="CZ46">_xlfn.IFS(_xlfn.SINGLE(Month)&lt;ops_start_mo,0,
_xlfn.SINGLE(Month)&gt;=ops_start_mo, employee_count*-average_monthly_salary*POWER(1+inflation_opex, QUOTIENT(_xlfn.SINGLE(Month)-ops_start_mo, 12)))</f>
        <v>-26745.429457534781</v>
      </c>
      <c r="DA46" s="48" cm="1">
        <f t="array" ref="DA46">_xlfn.IFS(_xlfn.SINGLE(Month)&lt;ops_start_mo,0,
_xlfn.SINGLE(Month)&gt;=ops_start_mo, employee_count*-average_monthly_salary*POWER(1+inflation_opex, QUOTIENT(_xlfn.SINGLE(Month)-ops_start_mo, 12)))</f>
        <v>-26745.429457534781</v>
      </c>
      <c r="DB46" s="48" cm="1">
        <f t="array" ref="DB46">_xlfn.IFS(_xlfn.SINGLE(Month)&lt;ops_start_mo,0,
_xlfn.SINGLE(Month)&gt;=ops_start_mo, employee_count*-average_monthly_salary*POWER(1+inflation_opex, QUOTIENT(_xlfn.SINGLE(Month)-ops_start_mo, 12)))</f>
        <v>-26745.429457534781</v>
      </c>
      <c r="DC46" s="48" cm="1">
        <f t="array" ref="DC46">_xlfn.IFS(_xlfn.SINGLE(Month)&lt;ops_start_mo,0,
_xlfn.SINGLE(Month)&gt;=ops_start_mo, employee_count*-average_monthly_salary*POWER(1+inflation_opex, QUOTIENT(_xlfn.SINGLE(Month)-ops_start_mo, 12)))</f>
        <v>-26745.429457534781</v>
      </c>
      <c r="DD46" s="48" cm="1">
        <f t="array" ref="DD46">_xlfn.IFS(_xlfn.SINGLE(Month)&lt;ops_start_mo,0,
_xlfn.SINGLE(Month)&gt;=ops_start_mo, employee_count*-average_monthly_salary*POWER(1+inflation_opex, QUOTIENT(_xlfn.SINGLE(Month)-ops_start_mo, 12)))</f>
        <v>-26745.429457534781</v>
      </c>
      <c r="DE46" s="48" cm="1">
        <f t="array" ref="DE46">_xlfn.IFS(_xlfn.SINGLE(Month)&lt;ops_start_mo,0,
_xlfn.SINGLE(Month)&gt;=ops_start_mo, employee_count*-average_monthly_salary*POWER(1+inflation_opex, QUOTIENT(_xlfn.SINGLE(Month)-ops_start_mo, 12)))</f>
        <v>-26745.429457534781</v>
      </c>
      <c r="DF46" s="48" cm="1">
        <f t="array" ref="DF46">_xlfn.IFS(_xlfn.SINGLE(Month)&lt;ops_start_mo,0,
_xlfn.SINGLE(Month)&gt;=ops_start_mo, employee_count*-average_monthly_salary*POWER(1+inflation_opex, QUOTIENT(_xlfn.SINGLE(Month)-ops_start_mo, 12)))</f>
        <v>-26745.429457534781</v>
      </c>
      <c r="DG46" s="48" cm="1">
        <f t="array" ref="DG46">_xlfn.IFS(_xlfn.SINGLE(Month)&lt;ops_start_mo,0,
_xlfn.SINGLE(Month)&gt;=ops_start_mo, employee_count*-average_monthly_salary*POWER(1+inflation_opex, QUOTIENT(_xlfn.SINGLE(Month)-ops_start_mo, 12)))</f>
        <v>-26745.429457534781</v>
      </c>
      <c r="DH46" s="48" cm="1">
        <f t="array" ref="DH46">_xlfn.IFS(_xlfn.SINGLE(Month)&lt;ops_start_mo,0,
_xlfn.SINGLE(Month)&gt;=ops_start_mo, employee_count*-average_monthly_salary*POWER(1+inflation_opex, QUOTIENT(_xlfn.SINGLE(Month)-ops_start_mo, 12)))</f>
        <v>-27414.065193973147</v>
      </c>
      <c r="DI46" s="48" cm="1">
        <f t="array" ref="DI46">_xlfn.IFS(_xlfn.SINGLE(Month)&lt;ops_start_mo,0,
_xlfn.SINGLE(Month)&gt;=ops_start_mo, employee_count*-average_monthly_salary*POWER(1+inflation_opex, QUOTIENT(_xlfn.SINGLE(Month)-ops_start_mo, 12)))</f>
        <v>-27414.065193973147</v>
      </c>
      <c r="DJ46" s="48" cm="1">
        <f t="array" ref="DJ46">_xlfn.IFS(_xlfn.SINGLE(Month)&lt;ops_start_mo,0,
_xlfn.SINGLE(Month)&gt;=ops_start_mo, employee_count*-average_monthly_salary*POWER(1+inflation_opex, QUOTIENT(_xlfn.SINGLE(Month)-ops_start_mo, 12)))</f>
        <v>-27414.065193973147</v>
      </c>
      <c r="DK46" s="48" cm="1">
        <f t="array" ref="DK46">_xlfn.IFS(_xlfn.SINGLE(Month)&lt;ops_start_mo,0,
_xlfn.SINGLE(Month)&gt;=ops_start_mo, employee_count*-average_monthly_salary*POWER(1+inflation_opex, QUOTIENT(_xlfn.SINGLE(Month)-ops_start_mo, 12)))</f>
        <v>-27414.065193973147</v>
      </c>
      <c r="DL46" s="48" cm="1">
        <f t="array" ref="DL46">_xlfn.IFS(_xlfn.SINGLE(Month)&lt;ops_start_mo,0,
_xlfn.SINGLE(Month)&gt;=ops_start_mo, employee_count*-average_monthly_salary*POWER(1+inflation_opex, QUOTIENT(_xlfn.SINGLE(Month)-ops_start_mo, 12)))</f>
        <v>-27414.065193973147</v>
      </c>
      <c r="DM46" s="48" cm="1">
        <f t="array" ref="DM46">_xlfn.IFS(_xlfn.SINGLE(Month)&lt;ops_start_mo,0,
_xlfn.SINGLE(Month)&gt;=ops_start_mo, employee_count*-average_monthly_salary*POWER(1+inflation_opex, QUOTIENT(_xlfn.SINGLE(Month)-ops_start_mo, 12)))</f>
        <v>-27414.065193973147</v>
      </c>
      <c r="DN46" s="48" cm="1">
        <f t="array" ref="DN46">_xlfn.IFS(_xlfn.SINGLE(Month)&lt;ops_start_mo,0,
_xlfn.SINGLE(Month)&gt;=ops_start_mo, employee_count*-average_monthly_salary*POWER(1+inflation_opex, QUOTIENT(_xlfn.SINGLE(Month)-ops_start_mo, 12)))</f>
        <v>-27414.065193973147</v>
      </c>
      <c r="DO46" s="48" cm="1">
        <f t="array" ref="DO46">_xlfn.IFS(_xlfn.SINGLE(Month)&lt;ops_start_mo,0,
_xlfn.SINGLE(Month)&gt;=ops_start_mo, employee_count*-average_monthly_salary*POWER(1+inflation_opex, QUOTIENT(_xlfn.SINGLE(Month)-ops_start_mo, 12)))</f>
        <v>-27414.065193973147</v>
      </c>
      <c r="DP46" s="48" cm="1">
        <f t="array" ref="DP46">_xlfn.IFS(_xlfn.SINGLE(Month)&lt;ops_start_mo,0,
_xlfn.SINGLE(Month)&gt;=ops_start_mo, employee_count*-average_monthly_salary*POWER(1+inflation_opex, QUOTIENT(_xlfn.SINGLE(Month)-ops_start_mo, 12)))</f>
        <v>-27414.065193973147</v>
      </c>
      <c r="DQ46" s="48" cm="1">
        <f t="array" ref="DQ46">_xlfn.IFS(_xlfn.SINGLE(Month)&lt;ops_start_mo,0,
_xlfn.SINGLE(Month)&gt;=ops_start_mo, employee_count*-average_monthly_salary*POWER(1+inflation_opex, QUOTIENT(_xlfn.SINGLE(Month)-ops_start_mo, 12)))</f>
        <v>-27414.065193973147</v>
      </c>
      <c r="DR46" s="48" cm="1">
        <f t="array" ref="DR46">_xlfn.IFS(_xlfn.SINGLE(Month)&lt;ops_start_mo,0,
_xlfn.SINGLE(Month)&gt;=ops_start_mo, employee_count*-average_monthly_salary*POWER(1+inflation_opex, QUOTIENT(_xlfn.SINGLE(Month)-ops_start_mo, 12)))</f>
        <v>-27414.065193973147</v>
      </c>
      <c r="DS46" s="48" cm="1">
        <f t="array" ref="DS46">_xlfn.IFS(_xlfn.SINGLE(Month)&lt;ops_start_mo,0,
_xlfn.SINGLE(Month)&gt;=ops_start_mo, employee_count*-average_monthly_salary*POWER(1+inflation_opex, QUOTIENT(_xlfn.SINGLE(Month)-ops_start_mo, 12)))</f>
        <v>-27414.065193973147</v>
      </c>
    </row>
    <row r="47" spans="1:123" x14ac:dyDescent="0.35">
      <c r="A47" s="49"/>
      <c r="B47" s="49" t="s">
        <v>112</v>
      </c>
      <c r="C47" s="48">
        <f t="shared" ref="C47:AH47" si="274" xml:space="preserve"> _xlfn.SINGLE(Salary_Expense)*social_security_tax_pct</f>
        <v>0</v>
      </c>
      <c r="D47" s="48">
        <f t="shared" si="274"/>
        <v>0</v>
      </c>
      <c r="E47" s="48">
        <f t="shared" si="274"/>
        <v>0</v>
      </c>
      <c r="F47" s="48">
        <f t="shared" si="274"/>
        <v>0</v>
      </c>
      <c r="G47" s="48">
        <f t="shared" si="274"/>
        <v>0</v>
      </c>
      <c r="H47" s="48">
        <f t="shared" si="274"/>
        <v>0</v>
      </c>
      <c r="I47" s="48">
        <f t="shared" si="274"/>
        <v>0</v>
      </c>
      <c r="J47" s="48">
        <f t="shared" si="274"/>
        <v>0</v>
      </c>
      <c r="K47" s="48">
        <f t="shared" si="274"/>
        <v>0</v>
      </c>
      <c r="L47" s="48">
        <f t="shared" si="274"/>
        <v>0</v>
      </c>
      <c r="M47" s="48">
        <f t="shared" si="274"/>
        <v>0</v>
      </c>
      <c r="N47" s="48">
        <f t="shared" si="274"/>
        <v>0</v>
      </c>
      <c r="O47" s="48">
        <f t="shared" si="274"/>
        <v>0</v>
      </c>
      <c r="P47" s="48">
        <f t="shared" si="274"/>
        <v>-4500</v>
      </c>
      <c r="Q47" s="48">
        <f t="shared" si="274"/>
        <v>-4500</v>
      </c>
      <c r="R47" s="48">
        <f t="shared" si="274"/>
        <v>-4500</v>
      </c>
      <c r="S47" s="48">
        <f t="shared" si="274"/>
        <v>-4500</v>
      </c>
      <c r="T47" s="48">
        <f t="shared" si="274"/>
        <v>-4500</v>
      </c>
      <c r="U47" s="48">
        <f t="shared" si="274"/>
        <v>-4500</v>
      </c>
      <c r="V47" s="48">
        <f t="shared" si="274"/>
        <v>-4500</v>
      </c>
      <c r="W47" s="48">
        <f t="shared" si="274"/>
        <v>-4500</v>
      </c>
      <c r="X47" s="48">
        <f t="shared" si="274"/>
        <v>-4500</v>
      </c>
      <c r="Y47" s="48">
        <f t="shared" si="274"/>
        <v>-4500</v>
      </c>
      <c r="Z47" s="48">
        <f t="shared" si="274"/>
        <v>-4500</v>
      </c>
      <c r="AA47" s="48">
        <f t="shared" si="274"/>
        <v>-4500</v>
      </c>
      <c r="AB47" s="48">
        <f t="shared" si="274"/>
        <v>-4612.4999999999991</v>
      </c>
      <c r="AC47" s="48">
        <f t="shared" si="274"/>
        <v>-4612.4999999999991</v>
      </c>
      <c r="AD47" s="48">
        <f t="shared" si="274"/>
        <v>-4612.4999999999991</v>
      </c>
      <c r="AE47" s="48">
        <f t="shared" si="274"/>
        <v>-4612.4999999999991</v>
      </c>
      <c r="AF47" s="48">
        <f t="shared" si="274"/>
        <v>-4612.4999999999991</v>
      </c>
      <c r="AG47" s="48">
        <f t="shared" si="274"/>
        <v>-4612.4999999999991</v>
      </c>
      <c r="AH47" s="48">
        <f t="shared" si="274"/>
        <v>-4612.4999999999991</v>
      </c>
      <c r="AI47" s="48">
        <f t="shared" ref="AI47:BN47" si="275" xml:space="preserve"> _xlfn.SINGLE(Salary_Expense)*social_security_tax_pct</f>
        <v>-4612.4999999999991</v>
      </c>
      <c r="AJ47" s="48">
        <f t="shared" si="275"/>
        <v>-4612.4999999999991</v>
      </c>
      <c r="AK47" s="48">
        <f t="shared" si="275"/>
        <v>-4612.4999999999991</v>
      </c>
      <c r="AL47" s="48">
        <f t="shared" si="275"/>
        <v>-4612.4999999999991</v>
      </c>
      <c r="AM47" s="48">
        <f t="shared" si="275"/>
        <v>-4612.4999999999991</v>
      </c>
      <c r="AN47" s="48">
        <f t="shared" si="275"/>
        <v>-4727.8125</v>
      </c>
      <c r="AO47" s="48">
        <f t="shared" si="275"/>
        <v>-4727.8125</v>
      </c>
      <c r="AP47" s="48">
        <f t="shared" si="275"/>
        <v>-4727.8125</v>
      </c>
      <c r="AQ47" s="48">
        <f t="shared" si="275"/>
        <v>-4727.8125</v>
      </c>
      <c r="AR47" s="48">
        <f t="shared" si="275"/>
        <v>-4727.8125</v>
      </c>
      <c r="AS47" s="48">
        <f t="shared" si="275"/>
        <v>-4727.8125</v>
      </c>
      <c r="AT47" s="48">
        <f t="shared" si="275"/>
        <v>-4727.8125</v>
      </c>
      <c r="AU47" s="48">
        <f t="shared" si="275"/>
        <v>-4727.8125</v>
      </c>
      <c r="AV47" s="48">
        <f t="shared" si="275"/>
        <v>-4727.8125</v>
      </c>
      <c r="AW47" s="48">
        <f t="shared" si="275"/>
        <v>-4727.8125</v>
      </c>
      <c r="AX47" s="48">
        <f t="shared" si="275"/>
        <v>-4727.8125</v>
      </c>
      <c r="AY47" s="48">
        <f t="shared" si="275"/>
        <v>-4727.8125</v>
      </c>
      <c r="AZ47" s="48">
        <f t="shared" si="275"/>
        <v>-4846.0078124999991</v>
      </c>
      <c r="BA47" s="48">
        <f t="shared" si="275"/>
        <v>-4846.0078124999991</v>
      </c>
      <c r="BB47" s="48">
        <f t="shared" si="275"/>
        <v>-4846.0078124999991</v>
      </c>
      <c r="BC47" s="48">
        <f t="shared" si="275"/>
        <v>-4846.0078124999991</v>
      </c>
      <c r="BD47" s="48">
        <f t="shared" si="275"/>
        <v>-4846.0078124999991</v>
      </c>
      <c r="BE47" s="48">
        <f t="shared" si="275"/>
        <v>-4846.0078124999991</v>
      </c>
      <c r="BF47" s="48">
        <f t="shared" si="275"/>
        <v>-4846.0078124999991</v>
      </c>
      <c r="BG47" s="48">
        <f t="shared" si="275"/>
        <v>-4846.0078124999991</v>
      </c>
      <c r="BH47" s="48">
        <f t="shared" si="275"/>
        <v>-4846.0078124999991</v>
      </c>
      <c r="BI47" s="48">
        <f t="shared" si="275"/>
        <v>-4846.0078124999991</v>
      </c>
      <c r="BJ47" s="48">
        <f t="shared" si="275"/>
        <v>-4846.0078124999991</v>
      </c>
      <c r="BK47" s="48">
        <f t="shared" si="275"/>
        <v>-4846.0078124999991</v>
      </c>
      <c r="BL47" s="48">
        <f t="shared" si="275"/>
        <v>-4967.1580078124998</v>
      </c>
      <c r="BM47" s="48">
        <f t="shared" si="275"/>
        <v>-4967.1580078124998</v>
      </c>
      <c r="BN47" s="48">
        <f t="shared" si="275"/>
        <v>-4967.1580078124998</v>
      </c>
      <c r="BO47" s="48">
        <f t="shared" ref="BO47:CT47" si="276" xml:space="preserve"> _xlfn.SINGLE(Salary_Expense)*social_security_tax_pct</f>
        <v>-4967.1580078124998</v>
      </c>
      <c r="BP47" s="48">
        <f t="shared" si="276"/>
        <v>-4967.1580078124998</v>
      </c>
      <c r="BQ47" s="48">
        <f t="shared" si="276"/>
        <v>-4967.1580078124998</v>
      </c>
      <c r="BR47" s="48">
        <f t="shared" si="276"/>
        <v>-4967.1580078124998</v>
      </c>
      <c r="BS47" s="48">
        <f t="shared" si="276"/>
        <v>-4967.1580078124998</v>
      </c>
      <c r="BT47" s="48">
        <f t="shared" si="276"/>
        <v>-4967.1580078124998</v>
      </c>
      <c r="BU47" s="48">
        <f t="shared" si="276"/>
        <v>-4967.1580078124998</v>
      </c>
      <c r="BV47" s="48">
        <f t="shared" si="276"/>
        <v>-4967.1580078124998</v>
      </c>
      <c r="BW47" s="48">
        <f t="shared" si="276"/>
        <v>-4967.1580078124998</v>
      </c>
      <c r="BX47" s="48">
        <f t="shared" si="276"/>
        <v>-5091.3369580078106</v>
      </c>
      <c r="BY47" s="48">
        <f t="shared" si="276"/>
        <v>-5091.3369580078106</v>
      </c>
      <c r="BZ47" s="48">
        <f t="shared" si="276"/>
        <v>-5091.3369580078106</v>
      </c>
      <c r="CA47" s="48">
        <f t="shared" si="276"/>
        <v>-5091.3369580078106</v>
      </c>
      <c r="CB47" s="48">
        <f t="shared" si="276"/>
        <v>-5091.3369580078106</v>
      </c>
      <c r="CC47" s="48">
        <f t="shared" si="276"/>
        <v>-5091.3369580078106</v>
      </c>
      <c r="CD47" s="48">
        <f t="shared" si="276"/>
        <v>-5091.3369580078106</v>
      </c>
      <c r="CE47" s="48">
        <f t="shared" si="276"/>
        <v>-5091.3369580078106</v>
      </c>
      <c r="CF47" s="48">
        <f t="shared" si="276"/>
        <v>-5091.3369580078106</v>
      </c>
      <c r="CG47" s="48">
        <f t="shared" si="276"/>
        <v>-5091.3369580078106</v>
      </c>
      <c r="CH47" s="48">
        <f t="shared" si="276"/>
        <v>-5091.3369580078106</v>
      </c>
      <c r="CI47" s="48">
        <f t="shared" si="276"/>
        <v>-5091.3369580078106</v>
      </c>
      <c r="CJ47" s="48">
        <f t="shared" si="276"/>
        <v>-5218.620381958006</v>
      </c>
      <c r="CK47" s="48">
        <f t="shared" si="276"/>
        <v>-5218.620381958006</v>
      </c>
      <c r="CL47" s="48">
        <f t="shared" si="276"/>
        <v>-5218.620381958006</v>
      </c>
      <c r="CM47" s="48">
        <f t="shared" si="276"/>
        <v>-5218.620381958006</v>
      </c>
      <c r="CN47" s="48">
        <f t="shared" si="276"/>
        <v>-5218.620381958006</v>
      </c>
      <c r="CO47" s="48">
        <f t="shared" si="276"/>
        <v>-5218.620381958006</v>
      </c>
      <c r="CP47" s="48">
        <f t="shared" si="276"/>
        <v>-5218.620381958006</v>
      </c>
      <c r="CQ47" s="48">
        <f t="shared" si="276"/>
        <v>-5218.620381958006</v>
      </c>
      <c r="CR47" s="48">
        <f t="shared" si="276"/>
        <v>-5218.620381958006</v>
      </c>
      <c r="CS47" s="48">
        <f t="shared" si="276"/>
        <v>-5218.620381958006</v>
      </c>
      <c r="CT47" s="48">
        <f t="shared" si="276"/>
        <v>-5218.620381958006</v>
      </c>
      <c r="CU47" s="48">
        <f t="shared" ref="CU47:DS47" si="277" xml:space="preserve"> _xlfn.SINGLE(Salary_Expense)*social_security_tax_pct</f>
        <v>-5218.620381958006</v>
      </c>
      <c r="CV47" s="48">
        <f t="shared" si="277"/>
        <v>-5349.0858915069566</v>
      </c>
      <c r="CW47" s="48">
        <f t="shared" si="277"/>
        <v>-5349.0858915069566</v>
      </c>
      <c r="CX47" s="48">
        <f t="shared" si="277"/>
        <v>-5349.0858915069566</v>
      </c>
      <c r="CY47" s="48">
        <f t="shared" si="277"/>
        <v>-5349.0858915069566</v>
      </c>
      <c r="CZ47" s="48">
        <f t="shared" si="277"/>
        <v>-5349.0858915069566</v>
      </c>
      <c r="DA47" s="48">
        <f t="shared" si="277"/>
        <v>-5349.0858915069566</v>
      </c>
      <c r="DB47" s="48">
        <f t="shared" si="277"/>
        <v>-5349.0858915069566</v>
      </c>
      <c r="DC47" s="48">
        <f t="shared" si="277"/>
        <v>-5349.0858915069566</v>
      </c>
      <c r="DD47" s="48">
        <f t="shared" si="277"/>
        <v>-5349.0858915069566</v>
      </c>
      <c r="DE47" s="48">
        <f t="shared" si="277"/>
        <v>-5349.0858915069566</v>
      </c>
      <c r="DF47" s="48">
        <f t="shared" si="277"/>
        <v>-5349.0858915069566</v>
      </c>
      <c r="DG47" s="48">
        <f t="shared" si="277"/>
        <v>-5349.0858915069566</v>
      </c>
      <c r="DH47" s="48">
        <f t="shared" si="277"/>
        <v>-5482.8130387946294</v>
      </c>
      <c r="DI47" s="48">
        <f t="shared" si="277"/>
        <v>-5482.8130387946294</v>
      </c>
      <c r="DJ47" s="48">
        <f t="shared" si="277"/>
        <v>-5482.8130387946294</v>
      </c>
      <c r="DK47" s="48">
        <f t="shared" si="277"/>
        <v>-5482.8130387946294</v>
      </c>
      <c r="DL47" s="48">
        <f t="shared" si="277"/>
        <v>-5482.8130387946294</v>
      </c>
      <c r="DM47" s="48">
        <f t="shared" si="277"/>
        <v>-5482.8130387946294</v>
      </c>
      <c r="DN47" s="48">
        <f t="shared" si="277"/>
        <v>-5482.8130387946294</v>
      </c>
      <c r="DO47" s="48">
        <f t="shared" si="277"/>
        <v>-5482.8130387946294</v>
      </c>
      <c r="DP47" s="48">
        <f t="shared" si="277"/>
        <v>-5482.8130387946294</v>
      </c>
      <c r="DQ47" s="48">
        <f t="shared" si="277"/>
        <v>-5482.8130387946294</v>
      </c>
      <c r="DR47" s="48">
        <f t="shared" si="277"/>
        <v>-5482.8130387946294</v>
      </c>
      <c r="DS47" s="48">
        <f t="shared" si="277"/>
        <v>-5482.8130387946294</v>
      </c>
    </row>
    <row r="48" spans="1:123" x14ac:dyDescent="0.35">
      <c r="A48" s="49"/>
      <c r="B48" s="49" t="s">
        <v>113</v>
      </c>
      <c r="C48" s="48">
        <f t="shared" ref="C48:AH48" si="278" xml:space="preserve"> _xlfn.SINGLE(Salary_Expense)*benefits_pct</f>
        <v>0</v>
      </c>
      <c r="D48" s="48">
        <f t="shared" si="278"/>
        <v>0</v>
      </c>
      <c r="E48" s="48">
        <f t="shared" si="278"/>
        <v>0</v>
      </c>
      <c r="F48" s="48">
        <f t="shared" si="278"/>
        <v>0</v>
      </c>
      <c r="G48" s="48">
        <f t="shared" si="278"/>
        <v>0</v>
      </c>
      <c r="H48" s="48">
        <f t="shared" si="278"/>
        <v>0</v>
      </c>
      <c r="I48" s="48">
        <f t="shared" si="278"/>
        <v>0</v>
      </c>
      <c r="J48" s="48">
        <f t="shared" si="278"/>
        <v>0</v>
      </c>
      <c r="K48" s="48">
        <f t="shared" si="278"/>
        <v>0</v>
      </c>
      <c r="L48" s="48">
        <f t="shared" si="278"/>
        <v>0</v>
      </c>
      <c r="M48" s="48">
        <f t="shared" si="278"/>
        <v>0</v>
      </c>
      <c r="N48" s="48">
        <f t="shared" si="278"/>
        <v>0</v>
      </c>
      <c r="O48" s="48">
        <f t="shared" si="278"/>
        <v>0</v>
      </c>
      <c r="P48" s="48">
        <f t="shared" si="278"/>
        <v>-2250</v>
      </c>
      <c r="Q48" s="48">
        <f t="shared" si="278"/>
        <v>-2250</v>
      </c>
      <c r="R48" s="48">
        <f t="shared" si="278"/>
        <v>-2250</v>
      </c>
      <c r="S48" s="48">
        <f t="shared" si="278"/>
        <v>-2250</v>
      </c>
      <c r="T48" s="48">
        <f t="shared" si="278"/>
        <v>-2250</v>
      </c>
      <c r="U48" s="48">
        <f t="shared" si="278"/>
        <v>-2250</v>
      </c>
      <c r="V48" s="48">
        <f t="shared" si="278"/>
        <v>-2250</v>
      </c>
      <c r="W48" s="48">
        <f t="shared" si="278"/>
        <v>-2250</v>
      </c>
      <c r="X48" s="48">
        <f t="shared" si="278"/>
        <v>-2250</v>
      </c>
      <c r="Y48" s="48">
        <f t="shared" si="278"/>
        <v>-2250</v>
      </c>
      <c r="Z48" s="48">
        <f t="shared" si="278"/>
        <v>-2250</v>
      </c>
      <c r="AA48" s="48">
        <f t="shared" si="278"/>
        <v>-2250</v>
      </c>
      <c r="AB48" s="48">
        <f t="shared" si="278"/>
        <v>-2306.2499999999995</v>
      </c>
      <c r="AC48" s="48">
        <f t="shared" si="278"/>
        <v>-2306.2499999999995</v>
      </c>
      <c r="AD48" s="48">
        <f t="shared" si="278"/>
        <v>-2306.2499999999995</v>
      </c>
      <c r="AE48" s="48">
        <f t="shared" si="278"/>
        <v>-2306.2499999999995</v>
      </c>
      <c r="AF48" s="48">
        <f t="shared" si="278"/>
        <v>-2306.2499999999995</v>
      </c>
      <c r="AG48" s="48">
        <f t="shared" si="278"/>
        <v>-2306.2499999999995</v>
      </c>
      <c r="AH48" s="48">
        <f t="shared" si="278"/>
        <v>-2306.2499999999995</v>
      </c>
      <c r="AI48" s="48">
        <f t="shared" ref="AI48:BN48" si="279" xml:space="preserve"> _xlfn.SINGLE(Salary_Expense)*benefits_pct</f>
        <v>-2306.2499999999995</v>
      </c>
      <c r="AJ48" s="48">
        <f t="shared" si="279"/>
        <v>-2306.2499999999995</v>
      </c>
      <c r="AK48" s="48">
        <f t="shared" si="279"/>
        <v>-2306.2499999999995</v>
      </c>
      <c r="AL48" s="48">
        <f t="shared" si="279"/>
        <v>-2306.2499999999995</v>
      </c>
      <c r="AM48" s="48">
        <f t="shared" si="279"/>
        <v>-2306.2499999999995</v>
      </c>
      <c r="AN48" s="48">
        <f t="shared" si="279"/>
        <v>-2363.90625</v>
      </c>
      <c r="AO48" s="48">
        <f t="shared" si="279"/>
        <v>-2363.90625</v>
      </c>
      <c r="AP48" s="48">
        <f t="shared" si="279"/>
        <v>-2363.90625</v>
      </c>
      <c r="AQ48" s="48">
        <f t="shared" si="279"/>
        <v>-2363.90625</v>
      </c>
      <c r="AR48" s="48">
        <f t="shared" si="279"/>
        <v>-2363.90625</v>
      </c>
      <c r="AS48" s="48">
        <f t="shared" si="279"/>
        <v>-2363.90625</v>
      </c>
      <c r="AT48" s="48">
        <f t="shared" si="279"/>
        <v>-2363.90625</v>
      </c>
      <c r="AU48" s="48">
        <f t="shared" si="279"/>
        <v>-2363.90625</v>
      </c>
      <c r="AV48" s="48">
        <f t="shared" si="279"/>
        <v>-2363.90625</v>
      </c>
      <c r="AW48" s="48">
        <f t="shared" si="279"/>
        <v>-2363.90625</v>
      </c>
      <c r="AX48" s="48">
        <f t="shared" si="279"/>
        <v>-2363.90625</v>
      </c>
      <c r="AY48" s="48">
        <f t="shared" si="279"/>
        <v>-2363.90625</v>
      </c>
      <c r="AZ48" s="48">
        <f t="shared" si="279"/>
        <v>-2423.0039062499995</v>
      </c>
      <c r="BA48" s="48">
        <f t="shared" si="279"/>
        <v>-2423.0039062499995</v>
      </c>
      <c r="BB48" s="48">
        <f t="shared" si="279"/>
        <v>-2423.0039062499995</v>
      </c>
      <c r="BC48" s="48">
        <f t="shared" si="279"/>
        <v>-2423.0039062499995</v>
      </c>
      <c r="BD48" s="48">
        <f t="shared" si="279"/>
        <v>-2423.0039062499995</v>
      </c>
      <c r="BE48" s="48">
        <f t="shared" si="279"/>
        <v>-2423.0039062499995</v>
      </c>
      <c r="BF48" s="48">
        <f t="shared" si="279"/>
        <v>-2423.0039062499995</v>
      </c>
      <c r="BG48" s="48">
        <f t="shared" si="279"/>
        <v>-2423.0039062499995</v>
      </c>
      <c r="BH48" s="48">
        <f t="shared" si="279"/>
        <v>-2423.0039062499995</v>
      </c>
      <c r="BI48" s="48">
        <f t="shared" si="279"/>
        <v>-2423.0039062499995</v>
      </c>
      <c r="BJ48" s="48">
        <f t="shared" si="279"/>
        <v>-2423.0039062499995</v>
      </c>
      <c r="BK48" s="48">
        <f t="shared" si="279"/>
        <v>-2423.0039062499995</v>
      </c>
      <c r="BL48" s="48">
        <f t="shared" si="279"/>
        <v>-2483.5790039062499</v>
      </c>
      <c r="BM48" s="48">
        <f t="shared" si="279"/>
        <v>-2483.5790039062499</v>
      </c>
      <c r="BN48" s="48">
        <f t="shared" si="279"/>
        <v>-2483.5790039062499</v>
      </c>
      <c r="BO48" s="48">
        <f t="shared" ref="BO48:CT48" si="280" xml:space="preserve"> _xlfn.SINGLE(Salary_Expense)*benefits_pct</f>
        <v>-2483.5790039062499</v>
      </c>
      <c r="BP48" s="48">
        <f t="shared" si="280"/>
        <v>-2483.5790039062499</v>
      </c>
      <c r="BQ48" s="48">
        <f t="shared" si="280"/>
        <v>-2483.5790039062499</v>
      </c>
      <c r="BR48" s="48">
        <f t="shared" si="280"/>
        <v>-2483.5790039062499</v>
      </c>
      <c r="BS48" s="48">
        <f t="shared" si="280"/>
        <v>-2483.5790039062499</v>
      </c>
      <c r="BT48" s="48">
        <f t="shared" si="280"/>
        <v>-2483.5790039062499</v>
      </c>
      <c r="BU48" s="48">
        <f t="shared" si="280"/>
        <v>-2483.5790039062499</v>
      </c>
      <c r="BV48" s="48">
        <f t="shared" si="280"/>
        <v>-2483.5790039062499</v>
      </c>
      <c r="BW48" s="48">
        <f t="shared" si="280"/>
        <v>-2483.5790039062499</v>
      </c>
      <c r="BX48" s="48">
        <f t="shared" si="280"/>
        <v>-2545.6684790039053</v>
      </c>
      <c r="BY48" s="48">
        <f t="shared" si="280"/>
        <v>-2545.6684790039053</v>
      </c>
      <c r="BZ48" s="48">
        <f t="shared" si="280"/>
        <v>-2545.6684790039053</v>
      </c>
      <c r="CA48" s="48">
        <f t="shared" si="280"/>
        <v>-2545.6684790039053</v>
      </c>
      <c r="CB48" s="48">
        <f t="shared" si="280"/>
        <v>-2545.6684790039053</v>
      </c>
      <c r="CC48" s="48">
        <f t="shared" si="280"/>
        <v>-2545.6684790039053</v>
      </c>
      <c r="CD48" s="48">
        <f t="shared" si="280"/>
        <v>-2545.6684790039053</v>
      </c>
      <c r="CE48" s="48">
        <f t="shared" si="280"/>
        <v>-2545.6684790039053</v>
      </c>
      <c r="CF48" s="48">
        <f t="shared" si="280"/>
        <v>-2545.6684790039053</v>
      </c>
      <c r="CG48" s="48">
        <f t="shared" si="280"/>
        <v>-2545.6684790039053</v>
      </c>
      <c r="CH48" s="48">
        <f t="shared" si="280"/>
        <v>-2545.6684790039053</v>
      </c>
      <c r="CI48" s="48">
        <f t="shared" si="280"/>
        <v>-2545.6684790039053</v>
      </c>
      <c r="CJ48" s="48">
        <f t="shared" si="280"/>
        <v>-2609.310190979003</v>
      </c>
      <c r="CK48" s="48">
        <f t="shared" si="280"/>
        <v>-2609.310190979003</v>
      </c>
      <c r="CL48" s="48">
        <f t="shared" si="280"/>
        <v>-2609.310190979003</v>
      </c>
      <c r="CM48" s="48">
        <f t="shared" si="280"/>
        <v>-2609.310190979003</v>
      </c>
      <c r="CN48" s="48">
        <f t="shared" si="280"/>
        <v>-2609.310190979003</v>
      </c>
      <c r="CO48" s="48">
        <f t="shared" si="280"/>
        <v>-2609.310190979003</v>
      </c>
      <c r="CP48" s="48">
        <f t="shared" si="280"/>
        <v>-2609.310190979003</v>
      </c>
      <c r="CQ48" s="48">
        <f t="shared" si="280"/>
        <v>-2609.310190979003</v>
      </c>
      <c r="CR48" s="48">
        <f t="shared" si="280"/>
        <v>-2609.310190979003</v>
      </c>
      <c r="CS48" s="48">
        <f t="shared" si="280"/>
        <v>-2609.310190979003</v>
      </c>
      <c r="CT48" s="48">
        <f t="shared" si="280"/>
        <v>-2609.310190979003</v>
      </c>
      <c r="CU48" s="48">
        <f t="shared" ref="CU48:DS48" si="281" xml:space="preserve"> _xlfn.SINGLE(Salary_Expense)*benefits_pct</f>
        <v>-2609.310190979003</v>
      </c>
      <c r="CV48" s="48">
        <f t="shared" si="281"/>
        <v>-2674.5429457534783</v>
      </c>
      <c r="CW48" s="48">
        <f t="shared" si="281"/>
        <v>-2674.5429457534783</v>
      </c>
      <c r="CX48" s="48">
        <f t="shared" si="281"/>
        <v>-2674.5429457534783</v>
      </c>
      <c r="CY48" s="48">
        <f t="shared" si="281"/>
        <v>-2674.5429457534783</v>
      </c>
      <c r="CZ48" s="48">
        <f t="shared" si="281"/>
        <v>-2674.5429457534783</v>
      </c>
      <c r="DA48" s="48">
        <f t="shared" si="281"/>
        <v>-2674.5429457534783</v>
      </c>
      <c r="DB48" s="48">
        <f t="shared" si="281"/>
        <v>-2674.5429457534783</v>
      </c>
      <c r="DC48" s="48">
        <f t="shared" si="281"/>
        <v>-2674.5429457534783</v>
      </c>
      <c r="DD48" s="48">
        <f t="shared" si="281"/>
        <v>-2674.5429457534783</v>
      </c>
      <c r="DE48" s="48">
        <f t="shared" si="281"/>
        <v>-2674.5429457534783</v>
      </c>
      <c r="DF48" s="48">
        <f t="shared" si="281"/>
        <v>-2674.5429457534783</v>
      </c>
      <c r="DG48" s="48">
        <f t="shared" si="281"/>
        <v>-2674.5429457534783</v>
      </c>
      <c r="DH48" s="48">
        <f t="shared" si="281"/>
        <v>-2741.4065193973147</v>
      </c>
      <c r="DI48" s="48">
        <f t="shared" si="281"/>
        <v>-2741.4065193973147</v>
      </c>
      <c r="DJ48" s="48">
        <f t="shared" si="281"/>
        <v>-2741.4065193973147</v>
      </c>
      <c r="DK48" s="48">
        <f t="shared" si="281"/>
        <v>-2741.4065193973147</v>
      </c>
      <c r="DL48" s="48">
        <f t="shared" si="281"/>
        <v>-2741.4065193973147</v>
      </c>
      <c r="DM48" s="48">
        <f t="shared" si="281"/>
        <v>-2741.4065193973147</v>
      </c>
      <c r="DN48" s="48">
        <f t="shared" si="281"/>
        <v>-2741.4065193973147</v>
      </c>
      <c r="DO48" s="48">
        <f t="shared" si="281"/>
        <v>-2741.4065193973147</v>
      </c>
      <c r="DP48" s="48">
        <f t="shared" si="281"/>
        <v>-2741.4065193973147</v>
      </c>
      <c r="DQ48" s="48">
        <f t="shared" si="281"/>
        <v>-2741.4065193973147</v>
      </c>
      <c r="DR48" s="48">
        <f t="shared" si="281"/>
        <v>-2741.4065193973147</v>
      </c>
      <c r="DS48" s="48">
        <f t="shared" si="281"/>
        <v>-2741.4065193973147</v>
      </c>
    </row>
    <row r="49" spans="1:123" x14ac:dyDescent="0.35">
      <c r="A49" s="49"/>
      <c r="B49" s="49" t="s">
        <v>132</v>
      </c>
      <c r="C49" s="48" cm="1">
        <f t="array" ref="C49">_xlfn.IFS(_xlfn.SINGLE(Month)&lt;ops_start_mo,0,
_xlfn.SINGLE(Month)&gt;=ops_start_mo, -misc_expenses*POWER(1+inflation_opex, QUOTIENT(_xlfn.SINGLE(Month)-ops_start_mo, 12)))</f>
        <v>0</v>
      </c>
      <c r="D49" s="48" cm="1">
        <f t="array" ref="D49">_xlfn.IFS(_xlfn.SINGLE(Month)&lt;ops_start_mo,0,
_xlfn.SINGLE(Month)&gt;=ops_start_mo, -misc_expenses*POWER(1+inflation_opex, QUOTIENT(_xlfn.SINGLE(Month)-ops_start_mo, 12)))</f>
        <v>0</v>
      </c>
      <c r="E49" s="48" cm="1">
        <f t="array" ref="E49">_xlfn.IFS(_xlfn.SINGLE(Month)&lt;ops_start_mo,0,
_xlfn.SINGLE(Month)&gt;=ops_start_mo, -misc_expenses*POWER(1+inflation_opex, QUOTIENT(_xlfn.SINGLE(Month)-ops_start_mo, 12)))</f>
        <v>0</v>
      </c>
      <c r="F49" s="48" cm="1">
        <f t="array" ref="F49">_xlfn.IFS(_xlfn.SINGLE(Month)&lt;ops_start_mo,0,
_xlfn.SINGLE(Month)&gt;=ops_start_mo, -misc_expenses*POWER(1+inflation_opex, QUOTIENT(_xlfn.SINGLE(Month)-ops_start_mo, 12)))</f>
        <v>0</v>
      </c>
      <c r="G49" s="48" cm="1">
        <f t="array" ref="G49">_xlfn.IFS(_xlfn.SINGLE(Month)&lt;ops_start_mo,0,
_xlfn.SINGLE(Month)&gt;=ops_start_mo, -misc_expenses*POWER(1+inflation_opex, QUOTIENT(_xlfn.SINGLE(Month)-ops_start_mo, 12)))</f>
        <v>0</v>
      </c>
      <c r="H49" s="48" cm="1">
        <f t="array" ref="H49">_xlfn.IFS(_xlfn.SINGLE(Month)&lt;ops_start_mo,0,
_xlfn.SINGLE(Month)&gt;=ops_start_mo, -misc_expenses*POWER(1+inflation_opex, QUOTIENT(_xlfn.SINGLE(Month)-ops_start_mo, 12)))</f>
        <v>0</v>
      </c>
      <c r="I49" s="48" cm="1">
        <f t="array" ref="I49">_xlfn.IFS(_xlfn.SINGLE(Month)&lt;ops_start_mo,0,
_xlfn.SINGLE(Month)&gt;=ops_start_mo, -misc_expenses*POWER(1+inflation_opex, QUOTIENT(_xlfn.SINGLE(Month)-ops_start_mo, 12)))</f>
        <v>0</v>
      </c>
      <c r="J49" s="48" cm="1">
        <f t="array" ref="J49">_xlfn.IFS(_xlfn.SINGLE(Month)&lt;ops_start_mo,0,
_xlfn.SINGLE(Month)&gt;=ops_start_mo, -misc_expenses*POWER(1+inflation_opex, QUOTIENT(_xlfn.SINGLE(Month)-ops_start_mo, 12)))</f>
        <v>0</v>
      </c>
      <c r="K49" s="48" cm="1">
        <f t="array" ref="K49">_xlfn.IFS(_xlfn.SINGLE(Month)&lt;ops_start_mo,0,
_xlfn.SINGLE(Month)&gt;=ops_start_mo, -misc_expenses*POWER(1+inflation_opex, QUOTIENT(_xlfn.SINGLE(Month)-ops_start_mo, 12)))</f>
        <v>0</v>
      </c>
      <c r="L49" s="48" cm="1">
        <f t="array" ref="L49">_xlfn.IFS(_xlfn.SINGLE(Month)&lt;ops_start_mo,0,
_xlfn.SINGLE(Month)&gt;=ops_start_mo, -misc_expenses*POWER(1+inflation_opex, QUOTIENT(_xlfn.SINGLE(Month)-ops_start_mo, 12)))</f>
        <v>0</v>
      </c>
      <c r="M49" s="48" cm="1">
        <f t="array" ref="M49">_xlfn.IFS(_xlfn.SINGLE(Month)&lt;ops_start_mo,0,
_xlfn.SINGLE(Month)&gt;=ops_start_mo, -misc_expenses*POWER(1+inflation_opex, QUOTIENT(_xlfn.SINGLE(Month)-ops_start_mo, 12)))</f>
        <v>0</v>
      </c>
      <c r="N49" s="48" cm="1">
        <f t="array" ref="N49">_xlfn.IFS(_xlfn.SINGLE(Month)&lt;ops_start_mo,0,
_xlfn.SINGLE(Month)&gt;=ops_start_mo, -misc_expenses*POWER(1+inflation_opex, QUOTIENT(_xlfn.SINGLE(Month)-ops_start_mo, 12)))</f>
        <v>0</v>
      </c>
      <c r="O49" s="48" cm="1">
        <f t="array" ref="O49">_xlfn.IFS(_xlfn.SINGLE(Month)&lt;ops_start_mo,0,
_xlfn.SINGLE(Month)&gt;=ops_start_mo, -misc_expenses*POWER(1+inflation_opex, QUOTIENT(_xlfn.SINGLE(Month)-ops_start_mo, 12)))</f>
        <v>0</v>
      </c>
      <c r="P49" s="48" cm="1">
        <f t="array" ref="P49">_xlfn.IFS(_xlfn.SINGLE(Month)&lt;ops_start_mo,0,
_xlfn.SINGLE(Month)&gt;=ops_start_mo, -misc_expenses*POWER(1+inflation_opex, QUOTIENT(_xlfn.SINGLE(Month)-ops_start_mo, 12)))</f>
        <v>-3000</v>
      </c>
      <c r="Q49" s="48" cm="1">
        <f t="array" ref="Q49">_xlfn.IFS(_xlfn.SINGLE(Month)&lt;ops_start_mo,0,
_xlfn.SINGLE(Month)&gt;=ops_start_mo, -misc_expenses*POWER(1+inflation_opex, QUOTIENT(_xlfn.SINGLE(Month)-ops_start_mo, 12)))</f>
        <v>-3000</v>
      </c>
      <c r="R49" s="48" cm="1">
        <f t="array" ref="R49">_xlfn.IFS(_xlfn.SINGLE(Month)&lt;ops_start_mo,0,
_xlfn.SINGLE(Month)&gt;=ops_start_mo, -misc_expenses*POWER(1+inflation_opex, QUOTIENT(_xlfn.SINGLE(Month)-ops_start_mo, 12)))</f>
        <v>-3000</v>
      </c>
      <c r="S49" s="48" cm="1">
        <f t="array" ref="S49">_xlfn.IFS(_xlfn.SINGLE(Month)&lt;ops_start_mo,0,
_xlfn.SINGLE(Month)&gt;=ops_start_mo, -misc_expenses*POWER(1+inflation_opex, QUOTIENT(_xlfn.SINGLE(Month)-ops_start_mo, 12)))</f>
        <v>-3000</v>
      </c>
      <c r="T49" s="48" cm="1">
        <f t="array" ref="T49">_xlfn.IFS(_xlfn.SINGLE(Month)&lt;ops_start_mo,0,
_xlfn.SINGLE(Month)&gt;=ops_start_mo, -misc_expenses*POWER(1+inflation_opex, QUOTIENT(_xlfn.SINGLE(Month)-ops_start_mo, 12)))</f>
        <v>-3000</v>
      </c>
      <c r="U49" s="48" cm="1">
        <f t="array" ref="U49">_xlfn.IFS(_xlfn.SINGLE(Month)&lt;ops_start_mo,0,
_xlfn.SINGLE(Month)&gt;=ops_start_mo, -misc_expenses*POWER(1+inflation_opex, QUOTIENT(_xlfn.SINGLE(Month)-ops_start_mo, 12)))</f>
        <v>-3000</v>
      </c>
      <c r="V49" s="48" cm="1">
        <f t="array" ref="V49">_xlfn.IFS(_xlfn.SINGLE(Month)&lt;ops_start_mo,0,
_xlfn.SINGLE(Month)&gt;=ops_start_mo, -misc_expenses*POWER(1+inflation_opex, QUOTIENT(_xlfn.SINGLE(Month)-ops_start_mo, 12)))</f>
        <v>-3000</v>
      </c>
      <c r="W49" s="48" cm="1">
        <f t="array" ref="W49">_xlfn.IFS(_xlfn.SINGLE(Month)&lt;ops_start_mo,0,
_xlfn.SINGLE(Month)&gt;=ops_start_mo, -misc_expenses*POWER(1+inflation_opex, QUOTIENT(_xlfn.SINGLE(Month)-ops_start_mo, 12)))</f>
        <v>-3000</v>
      </c>
      <c r="X49" s="48" cm="1">
        <f t="array" ref="X49">_xlfn.IFS(_xlfn.SINGLE(Month)&lt;ops_start_mo,0,
_xlfn.SINGLE(Month)&gt;=ops_start_mo, -misc_expenses*POWER(1+inflation_opex, QUOTIENT(_xlfn.SINGLE(Month)-ops_start_mo, 12)))</f>
        <v>-3000</v>
      </c>
      <c r="Y49" s="48" cm="1">
        <f t="array" ref="Y49">_xlfn.IFS(_xlfn.SINGLE(Month)&lt;ops_start_mo,0,
_xlfn.SINGLE(Month)&gt;=ops_start_mo, -misc_expenses*POWER(1+inflation_opex, QUOTIENT(_xlfn.SINGLE(Month)-ops_start_mo, 12)))</f>
        <v>-3000</v>
      </c>
      <c r="Z49" s="48" cm="1">
        <f t="array" ref="Z49">_xlfn.IFS(_xlfn.SINGLE(Month)&lt;ops_start_mo,0,
_xlfn.SINGLE(Month)&gt;=ops_start_mo, -misc_expenses*POWER(1+inflation_opex, QUOTIENT(_xlfn.SINGLE(Month)-ops_start_mo, 12)))</f>
        <v>-3000</v>
      </c>
      <c r="AA49" s="48" cm="1">
        <f t="array" ref="AA49">_xlfn.IFS(_xlfn.SINGLE(Month)&lt;ops_start_mo,0,
_xlfn.SINGLE(Month)&gt;=ops_start_mo, -misc_expenses*POWER(1+inflation_opex, QUOTIENT(_xlfn.SINGLE(Month)-ops_start_mo, 12)))</f>
        <v>-3000</v>
      </c>
      <c r="AB49" s="48" cm="1">
        <f t="array" ref="AB49">_xlfn.IFS(_xlfn.SINGLE(Month)&lt;ops_start_mo,0,
_xlfn.SINGLE(Month)&gt;=ops_start_mo, -misc_expenses*POWER(1+inflation_opex, QUOTIENT(_xlfn.SINGLE(Month)-ops_start_mo, 12)))</f>
        <v>-3074.9999999999995</v>
      </c>
      <c r="AC49" s="48" cm="1">
        <f t="array" ref="AC49">_xlfn.IFS(_xlfn.SINGLE(Month)&lt;ops_start_mo,0,
_xlfn.SINGLE(Month)&gt;=ops_start_mo, -misc_expenses*POWER(1+inflation_opex, QUOTIENT(_xlfn.SINGLE(Month)-ops_start_mo, 12)))</f>
        <v>-3074.9999999999995</v>
      </c>
      <c r="AD49" s="48" cm="1">
        <f t="array" ref="AD49">_xlfn.IFS(_xlfn.SINGLE(Month)&lt;ops_start_mo,0,
_xlfn.SINGLE(Month)&gt;=ops_start_mo, -misc_expenses*POWER(1+inflation_opex, QUOTIENT(_xlfn.SINGLE(Month)-ops_start_mo, 12)))</f>
        <v>-3074.9999999999995</v>
      </c>
      <c r="AE49" s="48" cm="1">
        <f t="array" ref="AE49">_xlfn.IFS(_xlfn.SINGLE(Month)&lt;ops_start_mo,0,
_xlfn.SINGLE(Month)&gt;=ops_start_mo, -misc_expenses*POWER(1+inflation_opex, QUOTIENT(_xlfn.SINGLE(Month)-ops_start_mo, 12)))</f>
        <v>-3074.9999999999995</v>
      </c>
      <c r="AF49" s="48" cm="1">
        <f t="array" ref="AF49">_xlfn.IFS(_xlfn.SINGLE(Month)&lt;ops_start_mo,0,
_xlfn.SINGLE(Month)&gt;=ops_start_mo, -misc_expenses*POWER(1+inflation_opex, QUOTIENT(_xlfn.SINGLE(Month)-ops_start_mo, 12)))</f>
        <v>-3074.9999999999995</v>
      </c>
      <c r="AG49" s="48" cm="1">
        <f t="array" ref="AG49">_xlfn.IFS(_xlfn.SINGLE(Month)&lt;ops_start_mo,0,
_xlfn.SINGLE(Month)&gt;=ops_start_mo, -misc_expenses*POWER(1+inflation_opex, QUOTIENT(_xlfn.SINGLE(Month)-ops_start_mo, 12)))</f>
        <v>-3074.9999999999995</v>
      </c>
      <c r="AH49" s="48" cm="1">
        <f t="array" ref="AH49">_xlfn.IFS(_xlfn.SINGLE(Month)&lt;ops_start_mo,0,
_xlfn.SINGLE(Month)&gt;=ops_start_mo, -misc_expenses*POWER(1+inflation_opex, QUOTIENT(_xlfn.SINGLE(Month)-ops_start_mo, 12)))</f>
        <v>-3074.9999999999995</v>
      </c>
      <c r="AI49" s="48" cm="1">
        <f t="array" ref="AI49">_xlfn.IFS(_xlfn.SINGLE(Month)&lt;ops_start_mo,0,
_xlfn.SINGLE(Month)&gt;=ops_start_mo, -misc_expenses*POWER(1+inflation_opex, QUOTIENT(_xlfn.SINGLE(Month)-ops_start_mo, 12)))</f>
        <v>-3074.9999999999995</v>
      </c>
      <c r="AJ49" s="48" cm="1">
        <f t="array" ref="AJ49">_xlfn.IFS(_xlfn.SINGLE(Month)&lt;ops_start_mo,0,
_xlfn.SINGLE(Month)&gt;=ops_start_mo, -misc_expenses*POWER(1+inflation_opex, QUOTIENT(_xlfn.SINGLE(Month)-ops_start_mo, 12)))</f>
        <v>-3074.9999999999995</v>
      </c>
      <c r="AK49" s="48" cm="1">
        <f t="array" ref="AK49">_xlfn.IFS(_xlfn.SINGLE(Month)&lt;ops_start_mo,0,
_xlfn.SINGLE(Month)&gt;=ops_start_mo, -misc_expenses*POWER(1+inflation_opex, QUOTIENT(_xlfn.SINGLE(Month)-ops_start_mo, 12)))</f>
        <v>-3074.9999999999995</v>
      </c>
      <c r="AL49" s="48" cm="1">
        <f t="array" ref="AL49">_xlfn.IFS(_xlfn.SINGLE(Month)&lt;ops_start_mo,0,
_xlfn.SINGLE(Month)&gt;=ops_start_mo, -misc_expenses*POWER(1+inflation_opex, QUOTIENT(_xlfn.SINGLE(Month)-ops_start_mo, 12)))</f>
        <v>-3074.9999999999995</v>
      </c>
      <c r="AM49" s="48" cm="1">
        <f t="array" ref="AM49">_xlfn.IFS(_xlfn.SINGLE(Month)&lt;ops_start_mo,0,
_xlfn.SINGLE(Month)&gt;=ops_start_mo, -misc_expenses*POWER(1+inflation_opex, QUOTIENT(_xlfn.SINGLE(Month)-ops_start_mo, 12)))</f>
        <v>-3074.9999999999995</v>
      </c>
      <c r="AN49" s="48" cm="1">
        <f t="array" ref="AN49">_xlfn.IFS(_xlfn.SINGLE(Month)&lt;ops_start_mo,0,
_xlfn.SINGLE(Month)&gt;=ops_start_mo, -misc_expenses*POWER(1+inflation_opex, QUOTIENT(_xlfn.SINGLE(Month)-ops_start_mo, 12)))</f>
        <v>-3151.8749999999995</v>
      </c>
      <c r="AO49" s="48" cm="1">
        <f t="array" ref="AO49">_xlfn.IFS(_xlfn.SINGLE(Month)&lt;ops_start_mo,0,
_xlfn.SINGLE(Month)&gt;=ops_start_mo, -misc_expenses*POWER(1+inflation_opex, QUOTIENT(_xlfn.SINGLE(Month)-ops_start_mo, 12)))</f>
        <v>-3151.8749999999995</v>
      </c>
      <c r="AP49" s="48" cm="1">
        <f t="array" ref="AP49">_xlfn.IFS(_xlfn.SINGLE(Month)&lt;ops_start_mo,0,
_xlfn.SINGLE(Month)&gt;=ops_start_mo, -misc_expenses*POWER(1+inflation_opex, QUOTIENT(_xlfn.SINGLE(Month)-ops_start_mo, 12)))</f>
        <v>-3151.8749999999995</v>
      </c>
      <c r="AQ49" s="48" cm="1">
        <f t="array" ref="AQ49">_xlfn.IFS(_xlfn.SINGLE(Month)&lt;ops_start_mo,0,
_xlfn.SINGLE(Month)&gt;=ops_start_mo, -misc_expenses*POWER(1+inflation_opex, QUOTIENT(_xlfn.SINGLE(Month)-ops_start_mo, 12)))</f>
        <v>-3151.8749999999995</v>
      </c>
      <c r="AR49" s="48" cm="1">
        <f t="array" ref="AR49">_xlfn.IFS(_xlfn.SINGLE(Month)&lt;ops_start_mo,0,
_xlfn.SINGLE(Month)&gt;=ops_start_mo, -misc_expenses*POWER(1+inflation_opex, QUOTIENT(_xlfn.SINGLE(Month)-ops_start_mo, 12)))</f>
        <v>-3151.8749999999995</v>
      </c>
      <c r="AS49" s="48" cm="1">
        <f t="array" ref="AS49">_xlfn.IFS(_xlfn.SINGLE(Month)&lt;ops_start_mo,0,
_xlfn.SINGLE(Month)&gt;=ops_start_mo, -misc_expenses*POWER(1+inflation_opex, QUOTIENT(_xlfn.SINGLE(Month)-ops_start_mo, 12)))</f>
        <v>-3151.8749999999995</v>
      </c>
      <c r="AT49" s="48" cm="1">
        <f t="array" ref="AT49">_xlfn.IFS(_xlfn.SINGLE(Month)&lt;ops_start_mo,0,
_xlfn.SINGLE(Month)&gt;=ops_start_mo, -misc_expenses*POWER(1+inflation_opex, QUOTIENT(_xlfn.SINGLE(Month)-ops_start_mo, 12)))</f>
        <v>-3151.8749999999995</v>
      </c>
      <c r="AU49" s="48" cm="1">
        <f t="array" ref="AU49">_xlfn.IFS(_xlfn.SINGLE(Month)&lt;ops_start_mo,0,
_xlfn.SINGLE(Month)&gt;=ops_start_mo, -misc_expenses*POWER(1+inflation_opex, QUOTIENT(_xlfn.SINGLE(Month)-ops_start_mo, 12)))</f>
        <v>-3151.8749999999995</v>
      </c>
      <c r="AV49" s="48" cm="1">
        <f t="array" ref="AV49">_xlfn.IFS(_xlfn.SINGLE(Month)&lt;ops_start_mo,0,
_xlfn.SINGLE(Month)&gt;=ops_start_mo, -misc_expenses*POWER(1+inflation_opex, QUOTIENT(_xlfn.SINGLE(Month)-ops_start_mo, 12)))</f>
        <v>-3151.8749999999995</v>
      </c>
      <c r="AW49" s="48" cm="1">
        <f t="array" ref="AW49">_xlfn.IFS(_xlfn.SINGLE(Month)&lt;ops_start_mo,0,
_xlfn.SINGLE(Month)&gt;=ops_start_mo, -misc_expenses*POWER(1+inflation_opex, QUOTIENT(_xlfn.SINGLE(Month)-ops_start_mo, 12)))</f>
        <v>-3151.8749999999995</v>
      </c>
      <c r="AX49" s="48" cm="1">
        <f t="array" ref="AX49">_xlfn.IFS(_xlfn.SINGLE(Month)&lt;ops_start_mo,0,
_xlfn.SINGLE(Month)&gt;=ops_start_mo, -misc_expenses*POWER(1+inflation_opex, QUOTIENT(_xlfn.SINGLE(Month)-ops_start_mo, 12)))</f>
        <v>-3151.8749999999995</v>
      </c>
      <c r="AY49" s="48" cm="1">
        <f t="array" ref="AY49">_xlfn.IFS(_xlfn.SINGLE(Month)&lt;ops_start_mo,0,
_xlfn.SINGLE(Month)&gt;=ops_start_mo, -misc_expenses*POWER(1+inflation_opex, QUOTIENT(_xlfn.SINGLE(Month)-ops_start_mo, 12)))</f>
        <v>-3151.8749999999995</v>
      </c>
      <c r="AZ49" s="48" cm="1">
        <f t="array" ref="AZ49">_xlfn.IFS(_xlfn.SINGLE(Month)&lt;ops_start_mo,0,
_xlfn.SINGLE(Month)&gt;=ops_start_mo, -misc_expenses*POWER(1+inflation_opex, QUOTIENT(_xlfn.SINGLE(Month)-ops_start_mo, 12)))</f>
        <v>-3230.6718749999995</v>
      </c>
      <c r="BA49" s="48" cm="1">
        <f t="array" ref="BA49">_xlfn.IFS(_xlfn.SINGLE(Month)&lt;ops_start_mo,0,
_xlfn.SINGLE(Month)&gt;=ops_start_mo, -misc_expenses*POWER(1+inflation_opex, QUOTIENT(_xlfn.SINGLE(Month)-ops_start_mo, 12)))</f>
        <v>-3230.6718749999995</v>
      </c>
      <c r="BB49" s="48" cm="1">
        <f t="array" ref="BB49">_xlfn.IFS(_xlfn.SINGLE(Month)&lt;ops_start_mo,0,
_xlfn.SINGLE(Month)&gt;=ops_start_mo, -misc_expenses*POWER(1+inflation_opex, QUOTIENT(_xlfn.SINGLE(Month)-ops_start_mo, 12)))</f>
        <v>-3230.6718749999995</v>
      </c>
      <c r="BC49" s="48" cm="1">
        <f t="array" ref="BC49">_xlfn.IFS(_xlfn.SINGLE(Month)&lt;ops_start_mo,0,
_xlfn.SINGLE(Month)&gt;=ops_start_mo, -misc_expenses*POWER(1+inflation_opex, QUOTIENT(_xlfn.SINGLE(Month)-ops_start_mo, 12)))</f>
        <v>-3230.6718749999995</v>
      </c>
      <c r="BD49" s="48" cm="1">
        <f t="array" ref="BD49">_xlfn.IFS(_xlfn.SINGLE(Month)&lt;ops_start_mo,0,
_xlfn.SINGLE(Month)&gt;=ops_start_mo, -misc_expenses*POWER(1+inflation_opex, QUOTIENT(_xlfn.SINGLE(Month)-ops_start_mo, 12)))</f>
        <v>-3230.6718749999995</v>
      </c>
      <c r="BE49" s="48" cm="1">
        <f t="array" ref="BE49">_xlfn.IFS(_xlfn.SINGLE(Month)&lt;ops_start_mo,0,
_xlfn.SINGLE(Month)&gt;=ops_start_mo, -misc_expenses*POWER(1+inflation_opex, QUOTIENT(_xlfn.SINGLE(Month)-ops_start_mo, 12)))</f>
        <v>-3230.6718749999995</v>
      </c>
      <c r="BF49" s="48" cm="1">
        <f t="array" ref="BF49">_xlfn.IFS(_xlfn.SINGLE(Month)&lt;ops_start_mo,0,
_xlfn.SINGLE(Month)&gt;=ops_start_mo, -misc_expenses*POWER(1+inflation_opex, QUOTIENT(_xlfn.SINGLE(Month)-ops_start_mo, 12)))</f>
        <v>-3230.6718749999995</v>
      </c>
      <c r="BG49" s="48" cm="1">
        <f t="array" ref="BG49">_xlfn.IFS(_xlfn.SINGLE(Month)&lt;ops_start_mo,0,
_xlfn.SINGLE(Month)&gt;=ops_start_mo, -misc_expenses*POWER(1+inflation_opex, QUOTIENT(_xlfn.SINGLE(Month)-ops_start_mo, 12)))</f>
        <v>-3230.6718749999995</v>
      </c>
      <c r="BH49" s="48" cm="1">
        <f t="array" ref="BH49">_xlfn.IFS(_xlfn.SINGLE(Month)&lt;ops_start_mo,0,
_xlfn.SINGLE(Month)&gt;=ops_start_mo, -misc_expenses*POWER(1+inflation_opex, QUOTIENT(_xlfn.SINGLE(Month)-ops_start_mo, 12)))</f>
        <v>-3230.6718749999995</v>
      </c>
      <c r="BI49" s="48" cm="1">
        <f t="array" ref="BI49">_xlfn.IFS(_xlfn.SINGLE(Month)&lt;ops_start_mo,0,
_xlfn.SINGLE(Month)&gt;=ops_start_mo, -misc_expenses*POWER(1+inflation_opex, QUOTIENT(_xlfn.SINGLE(Month)-ops_start_mo, 12)))</f>
        <v>-3230.6718749999995</v>
      </c>
      <c r="BJ49" s="48" cm="1">
        <f t="array" ref="BJ49">_xlfn.IFS(_xlfn.SINGLE(Month)&lt;ops_start_mo,0,
_xlfn.SINGLE(Month)&gt;=ops_start_mo, -misc_expenses*POWER(1+inflation_opex, QUOTIENT(_xlfn.SINGLE(Month)-ops_start_mo, 12)))</f>
        <v>-3230.6718749999995</v>
      </c>
      <c r="BK49" s="48" cm="1">
        <f t="array" ref="BK49">_xlfn.IFS(_xlfn.SINGLE(Month)&lt;ops_start_mo,0,
_xlfn.SINGLE(Month)&gt;=ops_start_mo, -misc_expenses*POWER(1+inflation_opex, QUOTIENT(_xlfn.SINGLE(Month)-ops_start_mo, 12)))</f>
        <v>-3230.6718749999995</v>
      </c>
      <c r="BL49" s="48" cm="1">
        <f t="array" ref="BL49">_xlfn.IFS(_xlfn.SINGLE(Month)&lt;ops_start_mo,0,
_xlfn.SINGLE(Month)&gt;=ops_start_mo, -misc_expenses*POWER(1+inflation_opex, QUOTIENT(_xlfn.SINGLE(Month)-ops_start_mo, 12)))</f>
        <v>-3311.4386718749993</v>
      </c>
      <c r="BM49" s="48" cm="1">
        <f t="array" ref="BM49">_xlfn.IFS(_xlfn.SINGLE(Month)&lt;ops_start_mo,0,
_xlfn.SINGLE(Month)&gt;=ops_start_mo, -misc_expenses*POWER(1+inflation_opex, QUOTIENT(_xlfn.SINGLE(Month)-ops_start_mo, 12)))</f>
        <v>-3311.4386718749993</v>
      </c>
      <c r="BN49" s="48" cm="1">
        <f t="array" ref="BN49">_xlfn.IFS(_xlfn.SINGLE(Month)&lt;ops_start_mo,0,
_xlfn.SINGLE(Month)&gt;=ops_start_mo, -misc_expenses*POWER(1+inflation_opex, QUOTIENT(_xlfn.SINGLE(Month)-ops_start_mo, 12)))</f>
        <v>-3311.4386718749993</v>
      </c>
      <c r="BO49" s="48" cm="1">
        <f t="array" ref="BO49">_xlfn.IFS(_xlfn.SINGLE(Month)&lt;ops_start_mo,0,
_xlfn.SINGLE(Month)&gt;=ops_start_mo, -misc_expenses*POWER(1+inflation_opex, QUOTIENT(_xlfn.SINGLE(Month)-ops_start_mo, 12)))</f>
        <v>-3311.4386718749993</v>
      </c>
      <c r="BP49" s="48" cm="1">
        <f t="array" ref="BP49">_xlfn.IFS(_xlfn.SINGLE(Month)&lt;ops_start_mo,0,
_xlfn.SINGLE(Month)&gt;=ops_start_mo, -misc_expenses*POWER(1+inflation_opex, QUOTIENT(_xlfn.SINGLE(Month)-ops_start_mo, 12)))</f>
        <v>-3311.4386718749993</v>
      </c>
      <c r="BQ49" s="48" cm="1">
        <f t="array" ref="BQ49">_xlfn.IFS(_xlfn.SINGLE(Month)&lt;ops_start_mo,0,
_xlfn.SINGLE(Month)&gt;=ops_start_mo, -misc_expenses*POWER(1+inflation_opex, QUOTIENT(_xlfn.SINGLE(Month)-ops_start_mo, 12)))</f>
        <v>-3311.4386718749993</v>
      </c>
      <c r="BR49" s="48" cm="1">
        <f t="array" ref="BR49">_xlfn.IFS(_xlfn.SINGLE(Month)&lt;ops_start_mo,0,
_xlfn.SINGLE(Month)&gt;=ops_start_mo, -misc_expenses*POWER(1+inflation_opex, QUOTIENT(_xlfn.SINGLE(Month)-ops_start_mo, 12)))</f>
        <v>-3311.4386718749993</v>
      </c>
      <c r="BS49" s="48" cm="1">
        <f t="array" ref="BS49">_xlfn.IFS(_xlfn.SINGLE(Month)&lt;ops_start_mo,0,
_xlfn.SINGLE(Month)&gt;=ops_start_mo, -misc_expenses*POWER(1+inflation_opex, QUOTIENT(_xlfn.SINGLE(Month)-ops_start_mo, 12)))</f>
        <v>-3311.4386718749993</v>
      </c>
      <c r="BT49" s="48" cm="1">
        <f t="array" ref="BT49">_xlfn.IFS(_xlfn.SINGLE(Month)&lt;ops_start_mo,0,
_xlfn.SINGLE(Month)&gt;=ops_start_mo, -misc_expenses*POWER(1+inflation_opex, QUOTIENT(_xlfn.SINGLE(Month)-ops_start_mo, 12)))</f>
        <v>-3311.4386718749993</v>
      </c>
      <c r="BU49" s="48" cm="1">
        <f t="array" ref="BU49">_xlfn.IFS(_xlfn.SINGLE(Month)&lt;ops_start_mo,0,
_xlfn.SINGLE(Month)&gt;=ops_start_mo, -misc_expenses*POWER(1+inflation_opex, QUOTIENT(_xlfn.SINGLE(Month)-ops_start_mo, 12)))</f>
        <v>-3311.4386718749993</v>
      </c>
      <c r="BV49" s="48" cm="1">
        <f t="array" ref="BV49">_xlfn.IFS(_xlfn.SINGLE(Month)&lt;ops_start_mo,0,
_xlfn.SINGLE(Month)&gt;=ops_start_mo, -misc_expenses*POWER(1+inflation_opex, QUOTIENT(_xlfn.SINGLE(Month)-ops_start_mo, 12)))</f>
        <v>-3311.4386718749993</v>
      </c>
      <c r="BW49" s="48" cm="1">
        <f t="array" ref="BW49">_xlfn.IFS(_xlfn.SINGLE(Month)&lt;ops_start_mo,0,
_xlfn.SINGLE(Month)&gt;=ops_start_mo, -misc_expenses*POWER(1+inflation_opex, QUOTIENT(_xlfn.SINGLE(Month)-ops_start_mo, 12)))</f>
        <v>-3311.4386718749993</v>
      </c>
      <c r="BX49" s="48" cm="1">
        <f t="array" ref="BX49">_xlfn.IFS(_xlfn.SINGLE(Month)&lt;ops_start_mo,0,
_xlfn.SINGLE(Month)&gt;=ops_start_mo, -misc_expenses*POWER(1+inflation_opex, QUOTIENT(_xlfn.SINGLE(Month)-ops_start_mo, 12)))</f>
        <v>-3394.2246386718739</v>
      </c>
      <c r="BY49" s="48" cm="1">
        <f t="array" ref="BY49">_xlfn.IFS(_xlfn.SINGLE(Month)&lt;ops_start_mo,0,
_xlfn.SINGLE(Month)&gt;=ops_start_mo, -misc_expenses*POWER(1+inflation_opex, QUOTIENT(_xlfn.SINGLE(Month)-ops_start_mo, 12)))</f>
        <v>-3394.2246386718739</v>
      </c>
      <c r="BZ49" s="48" cm="1">
        <f t="array" ref="BZ49">_xlfn.IFS(_xlfn.SINGLE(Month)&lt;ops_start_mo,0,
_xlfn.SINGLE(Month)&gt;=ops_start_mo, -misc_expenses*POWER(1+inflation_opex, QUOTIENT(_xlfn.SINGLE(Month)-ops_start_mo, 12)))</f>
        <v>-3394.2246386718739</v>
      </c>
      <c r="CA49" s="48" cm="1">
        <f t="array" ref="CA49">_xlfn.IFS(_xlfn.SINGLE(Month)&lt;ops_start_mo,0,
_xlfn.SINGLE(Month)&gt;=ops_start_mo, -misc_expenses*POWER(1+inflation_opex, QUOTIENT(_xlfn.SINGLE(Month)-ops_start_mo, 12)))</f>
        <v>-3394.2246386718739</v>
      </c>
      <c r="CB49" s="48" cm="1">
        <f t="array" ref="CB49">_xlfn.IFS(_xlfn.SINGLE(Month)&lt;ops_start_mo,0,
_xlfn.SINGLE(Month)&gt;=ops_start_mo, -misc_expenses*POWER(1+inflation_opex, QUOTIENT(_xlfn.SINGLE(Month)-ops_start_mo, 12)))</f>
        <v>-3394.2246386718739</v>
      </c>
      <c r="CC49" s="48" cm="1">
        <f t="array" ref="CC49">_xlfn.IFS(_xlfn.SINGLE(Month)&lt;ops_start_mo,0,
_xlfn.SINGLE(Month)&gt;=ops_start_mo, -misc_expenses*POWER(1+inflation_opex, QUOTIENT(_xlfn.SINGLE(Month)-ops_start_mo, 12)))</f>
        <v>-3394.2246386718739</v>
      </c>
      <c r="CD49" s="48" cm="1">
        <f t="array" ref="CD49">_xlfn.IFS(_xlfn.SINGLE(Month)&lt;ops_start_mo,0,
_xlfn.SINGLE(Month)&gt;=ops_start_mo, -misc_expenses*POWER(1+inflation_opex, QUOTIENT(_xlfn.SINGLE(Month)-ops_start_mo, 12)))</f>
        <v>-3394.2246386718739</v>
      </c>
      <c r="CE49" s="48" cm="1">
        <f t="array" ref="CE49">_xlfn.IFS(_xlfn.SINGLE(Month)&lt;ops_start_mo,0,
_xlfn.SINGLE(Month)&gt;=ops_start_mo, -misc_expenses*POWER(1+inflation_opex, QUOTIENT(_xlfn.SINGLE(Month)-ops_start_mo, 12)))</f>
        <v>-3394.2246386718739</v>
      </c>
      <c r="CF49" s="48" cm="1">
        <f t="array" ref="CF49">_xlfn.IFS(_xlfn.SINGLE(Month)&lt;ops_start_mo,0,
_xlfn.SINGLE(Month)&gt;=ops_start_mo, -misc_expenses*POWER(1+inflation_opex, QUOTIENT(_xlfn.SINGLE(Month)-ops_start_mo, 12)))</f>
        <v>-3394.2246386718739</v>
      </c>
      <c r="CG49" s="48" cm="1">
        <f t="array" ref="CG49">_xlfn.IFS(_xlfn.SINGLE(Month)&lt;ops_start_mo,0,
_xlfn.SINGLE(Month)&gt;=ops_start_mo, -misc_expenses*POWER(1+inflation_opex, QUOTIENT(_xlfn.SINGLE(Month)-ops_start_mo, 12)))</f>
        <v>-3394.2246386718739</v>
      </c>
      <c r="CH49" s="48" cm="1">
        <f t="array" ref="CH49">_xlfn.IFS(_xlfn.SINGLE(Month)&lt;ops_start_mo,0,
_xlfn.SINGLE(Month)&gt;=ops_start_mo, -misc_expenses*POWER(1+inflation_opex, QUOTIENT(_xlfn.SINGLE(Month)-ops_start_mo, 12)))</f>
        <v>-3394.2246386718739</v>
      </c>
      <c r="CI49" s="48" cm="1">
        <f t="array" ref="CI49">_xlfn.IFS(_xlfn.SINGLE(Month)&lt;ops_start_mo,0,
_xlfn.SINGLE(Month)&gt;=ops_start_mo, -misc_expenses*POWER(1+inflation_opex, QUOTIENT(_xlfn.SINGLE(Month)-ops_start_mo, 12)))</f>
        <v>-3394.2246386718739</v>
      </c>
      <c r="CJ49" s="48" cm="1">
        <f t="array" ref="CJ49">_xlfn.IFS(_xlfn.SINGLE(Month)&lt;ops_start_mo,0,
_xlfn.SINGLE(Month)&gt;=ops_start_mo, -misc_expenses*POWER(1+inflation_opex, QUOTIENT(_xlfn.SINGLE(Month)-ops_start_mo, 12)))</f>
        <v>-3479.0802546386703</v>
      </c>
      <c r="CK49" s="48" cm="1">
        <f t="array" ref="CK49">_xlfn.IFS(_xlfn.SINGLE(Month)&lt;ops_start_mo,0,
_xlfn.SINGLE(Month)&gt;=ops_start_mo, -misc_expenses*POWER(1+inflation_opex, QUOTIENT(_xlfn.SINGLE(Month)-ops_start_mo, 12)))</f>
        <v>-3479.0802546386703</v>
      </c>
      <c r="CL49" s="48" cm="1">
        <f t="array" ref="CL49">_xlfn.IFS(_xlfn.SINGLE(Month)&lt;ops_start_mo,0,
_xlfn.SINGLE(Month)&gt;=ops_start_mo, -misc_expenses*POWER(1+inflation_opex, QUOTIENT(_xlfn.SINGLE(Month)-ops_start_mo, 12)))</f>
        <v>-3479.0802546386703</v>
      </c>
      <c r="CM49" s="48" cm="1">
        <f t="array" ref="CM49">_xlfn.IFS(_xlfn.SINGLE(Month)&lt;ops_start_mo,0,
_xlfn.SINGLE(Month)&gt;=ops_start_mo, -misc_expenses*POWER(1+inflation_opex, QUOTIENT(_xlfn.SINGLE(Month)-ops_start_mo, 12)))</f>
        <v>-3479.0802546386703</v>
      </c>
      <c r="CN49" s="48" cm="1">
        <f t="array" ref="CN49">_xlfn.IFS(_xlfn.SINGLE(Month)&lt;ops_start_mo,0,
_xlfn.SINGLE(Month)&gt;=ops_start_mo, -misc_expenses*POWER(1+inflation_opex, QUOTIENT(_xlfn.SINGLE(Month)-ops_start_mo, 12)))</f>
        <v>-3479.0802546386703</v>
      </c>
      <c r="CO49" s="48" cm="1">
        <f t="array" ref="CO49">_xlfn.IFS(_xlfn.SINGLE(Month)&lt;ops_start_mo,0,
_xlfn.SINGLE(Month)&gt;=ops_start_mo, -misc_expenses*POWER(1+inflation_opex, QUOTIENT(_xlfn.SINGLE(Month)-ops_start_mo, 12)))</f>
        <v>-3479.0802546386703</v>
      </c>
      <c r="CP49" s="48" cm="1">
        <f t="array" ref="CP49">_xlfn.IFS(_xlfn.SINGLE(Month)&lt;ops_start_mo,0,
_xlfn.SINGLE(Month)&gt;=ops_start_mo, -misc_expenses*POWER(1+inflation_opex, QUOTIENT(_xlfn.SINGLE(Month)-ops_start_mo, 12)))</f>
        <v>-3479.0802546386703</v>
      </c>
      <c r="CQ49" s="48" cm="1">
        <f t="array" ref="CQ49">_xlfn.IFS(_xlfn.SINGLE(Month)&lt;ops_start_mo,0,
_xlfn.SINGLE(Month)&gt;=ops_start_mo, -misc_expenses*POWER(1+inflation_opex, QUOTIENT(_xlfn.SINGLE(Month)-ops_start_mo, 12)))</f>
        <v>-3479.0802546386703</v>
      </c>
      <c r="CR49" s="48" cm="1">
        <f t="array" ref="CR49">_xlfn.IFS(_xlfn.SINGLE(Month)&lt;ops_start_mo,0,
_xlfn.SINGLE(Month)&gt;=ops_start_mo, -misc_expenses*POWER(1+inflation_opex, QUOTIENT(_xlfn.SINGLE(Month)-ops_start_mo, 12)))</f>
        <v>-3479.0802546386703</v>
      </c>
      <c r="CS49" s="48" cm="1">
        <f t="array" ref="CS49">_xlfn.IFS(_xlfn.SINGLE(Month)&lt;ops_start_mo,0,
_xlfn.SINGLE(Month)&gt;=ops_start_mo, -misc_expenses*POWER(1+inflation_opex, QUOTIENT(_xlfn.SINGLE(Month)-ops_start_mo, 12)))</f>
        <v>-3479.0802546386703</v>
      </c>
      <c r="CT49" s="48" cm="1">
        <f t="array" ref="CT49">_xlfn.IFS(_xlfn.SINGLE(Month)&lt;ops_start_mo,0,
_xlfn.SINGLE(Month)&gt;=ops_start_mo, -misc_expenses*POWER(1+inflation_opex, QUOTIENT(_xlfn.SINGLE(Month)-ops_start_mo, 12)))</f>
        <v>-3479.0802546386703</v>
      </c>
      <c r="CU49" s="48" cm="1">
        <f t="array" ref="CU49">_xlfn.IFS(_xlfn.SINGLE(Month)&lt;ops_start_mo,0,
_xlfn.SINGLE(Month)&gt;=ops_start_mo, -misc_expenses*POWER(1+inflation_opex, QUOTIENT(_xlfn.SINGLE(Month)-ops_start_mo, 12)))</f>
        <v>-3479.0802546386703</v>
      </c>
      <c r="CV49" s="48" cm="1">
        <f t="array" ref="CV49">_xlfn.IFS(_xlfn.SINGLE(Month)&lt;ops_start_mo,0,
_xlfn.SINGLE(Month)&gt;=ops_start_mo, -misc_expenses*POWER(1+inflation_opex, QUOTIENT(_xlfn.SINGLE(Month)-ops_start_mo, 12)))</f>
        <v>-3566.0572610046374</v>
      </c>
      <c r="CW49" s="48" cm="1">
        <f t="array" ref="CW49">_xlfn.IFS(_xlfn.SINGLE(Month)&lt;ops_start_mo,0,
_xlfn.SINGLE(Month)&gt;=ops_start_mo, -misc_expenses*POWER(1+inflation_opex, QUOTIENT(_xlfn.SINGLE(Month)-ops_start_mo, 12)))</f>
        <v>-3566.0572610046374</v>
      </c>
      <c r="CX49" s="48" cm="1">
        <f t="array" ref="CX49">_xlfn.IFS(_xlfn.SINGLE(Month)&lt;ops_start_mo,0,
_xlfn.SINGLE(Month)&gt;=ops_start_mo, -misc_expenses*POWER(1+inflation_opex, QUOTIENT(_xlfn.SINGLE(Month)-ops_start_mo, 12)))</f>
        <v>-3566.0572610046374</v>
      </c>
      <c r="CY49" s="48" cm="1">
        <f t="array" ref="CY49">_xlfn.IFS(_xlfn.SINGLE(Month)&lt;ops_start_mo,0,
_xlfn.SINGLE(Month)&gt;=ops_start_mo, -misc_expenses*POWER(1+inflation_opex, QUOTIENT(_xlfn.SINGLE(Month)-ops_start_mo, 12)))</f>
        <v>-3566.0572610046374</v>
      </c>
      <c r="CZ49" s="48" cm="1">
        <f t="array" ref="CZ49">_xlfn.IFS(_xlfn.SINGLE(Month)&lt;ops_start_mo,0,
_xlfn.SINGLE(Month)&gt;=ops_start_mo, -misc_expenses*POWER(1+inflation_opex, QUOTIENT(_xlfn.SINGLE(Month)-ops_start_mo, 12)))</f>
        <v>-3566.0572610046374</v>
      </c>
      <c r="DA49" s="48" cm="1">
        <f t="array" ref="DA49">_xlfn.IFS(_xlfn.SINGLE(Month)&lt;ops_start_mo,0,
_xlfn.SINGLE(Month)&gt;=ops_start_mo, -misc_expenses*POWER(1+inflation_opex, QUOTIENT(_xlfn.SINGLE(Month)-ops_start_mo, 12)))</f>
        <v>-3566.0572610046374</v>
      </c>
      <c r="DB49" s="48" cm="1">
        <f t="array" ref="DB49">_xlfn.IFS(_xlfn.SINGLE(Month)&lt;ops_start_mo,0,
_xlfn.SINGLE(Month)&gt;=ops_start_mo, -misc_expenses*POWER(1+inflation_opex, QUOTIENT(_xlfn.SINGLE(Month)-ops_start_mo, 12)))</f>
        <v>-3566.0572610046374</v>
      </c>
      <c r="DC49" s="48" cm="1">
        <f t="array" ref="DC49">_xlfn.IFS(_xlfn.SINGLE(Month)&lt;ops_start_mo,0,
_xlfn.SINGLE(Month)&gt;=ops_start_mo, -misc_expenses*POWER(1+inflation_opex, QUOTIENT(_xlfn.SINGLE(Month)-ops_start_mo, 12)))</f>
        <v>-3566.0572610046374</v>
      </c>
      <c r="DD49" s="48" cm="1">
        <f t="array" ref="DD49">_xlfn.IFS(_xlfn.SINGLE(Month)&lt;ops_start_mo,0,
_xlfn.SINGLE(Month)&gt;=ops_start_mo, -misc_expenses*POWER(1+inflation_opex, QUOTIENT(_xlfn.SINGLE(Month)-ops_start_mo, 12)))</f>
        <v>-3566.0572610046374</v>
      </c>
      <c r="DE49" s="48" cm="1">
        <f t="array" ref="DE49">_xlfn.IFS(_xlfn.SINGLE(Month)&lt;ops_start_mo,0,
_xlfn.SINGLE(Month)&gt;=ops_start_mo, -misc_expenses*POWER(1+inflation_opex, QUOTIENT(_xlfn.SINGLE(Month)-ops_start_mo, 12)))</f>
        <v>-3566.0572610046374</v>
      </c>
      <c r="DF49" s="48" cm="1">
        <f t="array" ref="DF49">_xlfn.IFS(_xlfn.SINGLE(Month)&lt;ops_start_mo,0,
_xlfn.SINGLE(Month)&gt;=ops_start_mo, -misc_expenses*POWER(1+inflation_opex, QUOTIENT(_xlfn.SINGLE(Month)-ops_start_mo, 12)))</f>
        <v>-3566.0572610046374</v>
      </c>
      <c r="DG49" s="48" cm="1">
        <f t="array" ref="DG49">_xlfn.IFS(_xlfn.SINGLE(Month)&lt;ops_start_mo,0,
_xlfn.SINGLE(Month)&gt;=ops_start_mo, -misc_expenses*POWER(1+inflation_opex, QUOTIENT(_xlfn.SINGLE(Month)-ops_start_mo, 12)))</f>
        <v>-3566.0572610046374</v>
      </c>
      <c r="DH49" s="48" cm="1">
        <f t="array" ref="DH49">_xlfn.IFS(_xlfn.SINGLE(Month)&lt;ops_start_mo,0,
_xlfn.SINGLE(Month)&gt;=ops_start_mo, -misc_expenses*POWER(1+inflation_opex, QUOTIENT(_xlfn.SINGLE(Month)-ops_start_mo, 12)))</f>
        <v>-3655.2086925297531</v>
      </c>
      <c r="DI49" s="48" cm="1">
        <f t="array" ref="DI49">_xlfn.IFS(_xlfn.SINGLE(Month)&lt;ops_start_mo,0,
_xlfn.SINGLE(Month)&gt;=ops_start_mo, -misc_expenses*POWER(1+inflation_opex, QUOTIENT(_xlfn.SINGLE(Month)-ops_start_mo, 12)))</f>
        <v>-3655.2086925297531</v>
      </c>
      <c r="DJ49" s="48" cm="1">
        <f t="array" ref="DJ49">_xlfn.IFS(_xlfn.SINGLE(Month)&lt;ops_start_mo,0,
_xlfn.SINGLE(Month)&gt;=ops_start_mo, -misc_expenses*POWER(1+inflation_opex, QUOTIENT(_xlfn.SINGLE(Month)-ops_start_mo, 12)))</f>
        <v>-3655.2086925297531</v>
      </c>
      <c r="DK49" s="48" cm="1">
        <f t="array" ref="DK49">_xlfn.IFS(_xlfn.SINGLE(Month)&lt;ops_start_mo,0,
_xlfn.SINGLE(Month)&gt;=ops_start_mo, -misc_expenses*POWER(1+inflation_opex, QUOTIENT(_xlfn.SINGLE(Month)-ops_start_mo, 12)))</f>
        <v>-3655.2086925297531</v>
      </c>
      <c r="DL49" s="48" cm="1">
        <f t="array" ref="DL49">_xlfn.IFS(_xlfn.SINGLE(Month)&lt;ops_start_mo,0,
_xlfn.SINGLE(Month)&gt;=ops_start_mo, -misc_expenses*POWER(1+inflation_opex, QUOTIENT(_xlfn.SINGLE(Month)-ops_start_mo, 12)))</f>
        <v>-3655.2086925297531</v>
      </c>
      <c r="DM49" s="48" cm="1">
        <f t="array" ref="DM49">_xlfn.IFS(_xlfn.SINGLE(Month)&lt;ops_start_mo,0,
_xlfn.SINGLE(Month)&gt;=ops_start_mo, -misc_expenses*POWER(1+inflation_opex, QUOTIENT(_xlfn.SINGLE(Month)-ops_start_mo, 12)))</f>
        <v>-3655.2086925297531</v>
      </c>
      <c r="DN49" s="48" cm="1">
        <f t="array" ref="DN49">_xlfn.IFS(_xlfn.SINGLE(Month)&lt;ops_start_mo,0,
_xlfn.SINGLE(Month)&gt;=ops_start_mo, -misc_expenses*POWER(1+inflation_opex, QUOTIENT(_xlfn.SINGLE(Month)-ops_start_mo, 12)))</f>
        <v>-3655.2086925297531</v>
      </c>
      <c r="DO49" s="48" cm="1">
        <f t="array" ref="DO49">_xlfn.IFS(_xlfn.SINGLE(Month)&lt;ops_start_mo,0,
_xlfn.SINGLE(Month)&gt;=ops_start_mo, -misc_expenses*POWER(1+inflation_opex, QUOTIENT(_xlfn.SINGLE(Month)-ops_start_mo, 12)))</f>
        <v>-3655.2086925297531</v>
      </c>
      <c r="DP49" s="48" cm="1">
        <f t="array" ref="DP49">_xlfn.IFS(_xlfn.SINGLE(Month)&lt;ops_start_mo,0,
_xlfn.SINGLE(Month)&gt;=ops_start_mo, -misc_expenses*POWER(1+inflation_opex, QUOTIENT(_xlfn.SINGLE(Month)-ops_start_mo, 12)))</f>
        <v>-3655.2086925297531</v>
      </c>
      <c r="DQ49" s="48" cm="1">
        <f t="array" ref="DQ49">_xlfn.IFS(_xlfn.SINGLE(Month)&lt;ops_start_mo,0,
_xlfn.SINGLE(Month)&gt;=ops_start_mo, -misc_expenses*POWER(1+inflation_opex, QUOTIENT(_xlfn.SINGLE(Month)-ops_start_mo, 12)))</f>
        <v>-3655.2086925297531</v>
      </c>
      <c r="DR49" s="48" cm="1">
        <f t="array" ref="DR49">_xlfn.IFS(_xlfn.SINGLE(Month)&lt;ops_start_mo,0,
_xlfn.SINGLE(Month)&gt;=ops_start_mo, -misc_expenses*POWER(1+inflation_opex, QUOTIENT(_xlfn.SINGLE(Month)-ops_start_mo, 12)))</f>
        <v>-3655.2086925297531</v>
      </c>
      <c r="DS49" s="48" cm="1">
        <f t="array" ref="DS49">_xlfn.IFS(_xlfn.SINGLE(Month)&lt;ops_start_mo,0,
_xlfn.SINGLE(Month)&gt;=ops_start_mo, -misc_expenses*POWER(1+inflation_opex, QUOTIENT(_xlfn.SINGLE(Month)-ops_start_mo, 12)))</f>
        <v>-3655.2086925297531</v>
      </c>
    </row>
    <row r="50" spans="1:123" x14ac:dyDescent="0.35">
      <c r="A50" s="49"/>
      <c r="B50" s="56" t="s">
        <v>139</v>
      </c>
      <c r="C50" s="48">
        <f t="shared" ref="C50:AH50" si="282" xml:space="preserve"> SUM(_xlfn.SINGLE(Salary_Expense),_xlfn.SINGLE(Social_Security_Tax_Expense),_xlfn.SINGLE(Employee_Benefits_Expense),_xlfn.SINGLE(Miscellaneous_Expense))</f>
        <v>0</v>
      </c>
      <c r="D50" s="48">
        <f t="shared" si="282"/>
        <v>0</v>
      </c>
      <c r="E50" s="48">
        <f t="shared" si="282"/>
        <v>0</v>
      </c>
      <c r="F50" s="48">
        <f t="shared" si="282"/>
        <v>0</v>
      </c>
      <c r="G50" s="48">
        <f t="shared" si="282"/>
        <v>0</v>
      </c>
      <c r="H50" s="48">
        <f t="shared" si="282"/>
        <v>0</v>
      </c>
      <c r="I50" s="48">
        <f t="shared" si="282"/>
        <v>0</v>
      </c>
      <c r="J50" s="48">
        <f t="shared" si="282"/>
        <v>0</v>
      </c>
      <c r="K50" s="48">
        <f t="shared" si="282"/>
        <v>0</v>
      </c>
      <c r="L50" s="48">
        <f t="shared" si="282"/>
        <v>0</v>
      </c>
      <c r="M50" s="48">
        <f t="shared" si="282"/>
        <v>0</v>
      </c>
      <c r="N50" s="48">
        <f t="shared" si="282"/>
        <v>0</v>
      </c>
      <c r="O50" s="48">
        <f t="shared" si="282"/>
        <v>0</v>
      </c>
      <c r="P50" s="48">
        <f t="shared" si="282"/>
        <v>-32250</v>
      </c>
      <c r="Q50" s="48">
        <f t="shared" si="282"/>
        <v>-32250</v>
      </c>
      <c r="R50" s="48">
        <f t="shared" si="282"/>
        <v>-32250</v>
      </c>
      <c r="S50" s="48">
        <f t="shared" si="282"/>
        <v>-32250</v>
      </c>
      <c r="T50" s="48">
        <f t="shared" si="282"/>
        <v>-32250</v>
      </c>
      <c r="U50" s="48">
        <f t="shared" si="282"/>
        <v>-32250</v>
      </c>
      <c r="V50" s="48">
        <f t="shared" si="282"/>
        <v>-32250</v>
      </c>
      <c r="W50" s="48">
        <f t="shared" si="282"/>
        <v>-32250</v>
      </c>
      <c r="X50" s="48">
        <f t="shared" si="282"/>
        <v>-32250</v>
      </c>
      <c r="Y50" s="48">
        <f t="shared" si="282"/>
        <v>-32250</v>
      </c>
      <c r="Z50" s="48">
        <f t="shared" si="282"/>
        <v>-32250</v>
      </c>
      <c r="AA50" s="48">
        <f t="shared" si="282"/>
        <v>-32250</v>
      </c>
      <c r="AB50" s="48">
        <f t="shared" si="282"/>
        <v>-33056.249999999993</v>
      </c>
      <c r="AC50" s="48">
        <f t="shared" si="282"/>
        <v>-33056.249999999993</v>
      </c>
      <c r="AD50" s="48">
        <f t="shared" si="282"/>
        <v>-33056.249999999993</v>
      </c>
      <c r="AE50" s="48">
        <f t="shared" si="282"/>
        <v>-33056.249999999993</v>
      </c>
      <c r="AF50" s="48">
        <f t="shared" si="282"/>
        <v>-33056.249999999993</v>
      </c>
      <c r="AG50" s="48">
        <f t="shared" si="282"/>
        <v>-33056.249999999993</v>
      </c>
      <c r="AH50" s="48">
        <f t="shared" si="282"/>
        <v>-33056.249999999993</v>
      </c>
      <c r="AI50" s="48">
        <f t="shared" ref="AI50:BN50" si="283" xml:space="preserve"> SUM(_xlfn.SINGLE(Salary_Expense),_xlfn.SINGLE(Social_Security_Tax_Expense),_xlfn.SINGLE(Employee_Benefits_Expense),_xlfn.SINGLE(Miscellaneous_Expense))</f>
        <v>-33056.249999999993</v>
      </c>
      <c r="AJ50" s="48">
        <f t="shared" si="283"/>
        <v>-33056.249999999993</v>
      </c>
      <c r="AK50" s="48">
        <f t="shared" si="283"/>
        <v>-33056.249999999993</v>
      </c>
      <c r="AL50" s="48">
        <f t="shared" si="283"/>
        <v>-33056.249999999993</v>
      </c>
      <c r="AM50" s="48">
        <f t="shared" si="283"/>
        <v>-33056.249999999993</v>
      </c>
      <c r="AN50" s="48">
        <f t="shared" si="283"/>
        <v>-33882.65625</v>
      </c>
      <c r="AO50" s="48">
        <f t="shared" si="283"/>
        <v>-33882.65625</v>
      </c>
      <c r="AP50" s="48">
        <f t="shared" si="283"/>
        <v>-33882.65625</v>
      </c>
      <c r="AQ50" s="48">
        <f t="shared" si="283"/>
        <v>-33882.65625</v>
      </c>
      <c r="AR50" s="48">
        <f t="shared" si="283"/>
        <v>-33882.65625</v>
      </c>
      <c r="AS50" s="48">
        <f t="shared" si="283"/>
        <v>-33882.65625</v>
      </c>
      <c r="AT50" s="48">
        <f t="shared" si="283"/>
        <v>-33882.65625</v>
      </c>
      <c r="AU50" s="48">
        <f t="shared" si="283"/>
        <v>-33882.65625</v>
      </c>
      <c r="AV50" s="48">
        <f t="shared" si="283"/>
        <v>-33882.65625</v>
      </c>
      <c r="AW50" s="48">
        <f t="shared" si="283"/>
        <v>-33882.65625</v>
      </c>
      <c r="AX50" s="48">
        <f t="shared" si="283"/>
        <v>-33882.65625</v>
      </c>
      <c r="AY50" s="48">
        <f t="shared" si="283"/>
        <v>-33882.65625</v>
      </c>
      <c r="AZ50" s="48">
        <f t="shared" si="283"/>
        <v>-34729.722656249993</v>
      </c>
      <c r="BA50" s="48">
        <f t="shared" si="283"/>
        <v>-34729.722656249993</v>
      </c>
      <c r="BB50" s="48">
        <f t="shared" si="283"/>
        <v>-34729.722656249993</v>
      </c>
      <c r="BC50" s="48">
        <f t="shared" si="283"/>
        <v>-34729.722656249993</v>
      </c>
      <c r="BD50" s="48">
        <f t="shared" si="283"/>
        <v>-34729.722656249993</v>
      </c>
      <c r="BE50" s="48">
        <f t="shared" si="283"/>
        <v>-34729.722656249993</v>
      </c>
      <c r="BF50" s="48">
        <f t="shared" si="283"/>
        <v>-34729.722656249993</v>
      </c>
      <c r="BG50" s="48">
        <f t="shared" si="283"/>
        <v>-34729.722656249993</v>
      </c>
      <c r="BH50" s="48">
        <f t="shared" si="283"/>
        <v>-34729.722656249993</v>
      </c>
      <c r="BI50" s="48">
        <f t="shared" si="283"/>
        <v>-34729.722656249993</v>
      </c>
      <c r="BJ50" s="48">
        <f t="shared" si="283"/>
        <v>-34729.722656249993</v>
      </c>
      <c r="BK50" s="48">
        <f t="shared" si="283"/>
        <v>-34729.722656249993</v>
      </c>
      <c r="BL50" s="48">
        <f t="shared" si="283"/>
        <v>-35597.965722656241</v>
      </c>
      <c r="BM50" s="48">
        <f t="shared" si="283"/>
        <v>-35597.965722656241</v>
      </c>
      <c r="BN50" s="48">
        <f t="shared" si="283"/>
        <v>-35597.965722656241</v>
      </c>
      <c r="BO50" s="48">
        <f t="shared" ref="BO50:CT50" si="284" xml:space="preserve"> SUM(_xlfn.SINGLE(Salary_Expense),_xlfn.SINGLE(Social_Security_Tax_Expense),_xlfn.SINGLE(Employee_Benefits_Expense),_xlfn.SINGLE(Miscellaneous_Expense))</f>
        <v>-35597.965722656241</v>
      </c>
      <c r="BP50" s="48">
        <f t="shared" si="284"/>
        <v>-35597.965722656241</v>
      </c>
      <c r="BQ50" s="48">
        <f t="shared" si="284"/>
        <v>-35597.965722656241</v>
      </c>
      <c r="BR50" s="48">
        <f t="shared" si="284"/>
        <v>-35597.965722656241</v>
      </c>
      <c r="BS50" s="48">
        <f t="shared" si="284"/>
        <v>-35597.965722656241</v>
      </c>
      <c r="BT50" s="48">
        <f t="shared" si="284"/>
        <v>-35597.965722656241</v>
      </c>
      <c r="BU50" s="48">
        <f t="shared" si="284"/>
        <v>-35597.965722656241</v>
      </c>
      <c r="BV50" s="48">
        <f t="shared" si="284"/>
        <v>-35597.965722656241</v>
      </c>
      <c r="BW50" s="48">
        <f t="shared" si="284"/>
        <v>-35597.965722656241</v>
      </c>
      <c r="BX50" s="48">
        <f t="shared" si="284"/>
        <v>-36487.914865722647</v>
      </c>
      <c r="BY50" s="48">
        <f t="shared" si="284"/>
        <v>-36487.914865722647</v>
      </c>
      <c r="BZ50" s="48">
        <f t="shared" si="284"/>
        <v>-36487.914865722647</v>
      </c>
      <c r="CA50" s="48">
        <f t="shared" si="284"/>
        <v>-36487.914865722647</v>
      </c>
      <c r="CB50" s="48">
        <f t="shared" si="284"/>
        <v>-36487.914865722647</v>
      </c>
      <c r="CC50" s="48">
        <f t="shared" si="284"/>
        <v>-36487.914865722647</v>
      </c>
      <c r="CD50" s="48">
        <f t="shared" si="284"/>
        <v>-36487.914865722647</v>
      </c>
      <c r="CE50" s="48">
        <f t="shared" si="284"/>
        <v>-36487.914865722647</v>
      </c>
      <c r="CF50" s="48">
        <f t="shared" si="284"/>
        <v>-36487.914865722647</v>
      </c>
      <c r="CG50" s="48">
        <f t="shared" si="284"/>
        <v>-36487.914865722647</v>
      </c>
      <c r="CH50" s="48">
        <f t="shared" si="284"/>
        <v>-36487.914865722647</v>
      </c>
      <c r="CI50" s="48">
        <f t="shared" si="284"/>
        <v>-36487.914865722647</v>
      </c>
      <c r="CJ50" s="48">
        <f t="shared" si="284"/>
        <v>-37400.112737365707</v>
      </c>
      <c r="CK50" s="48">
        <f t="shared" si="284"/>
        <v>-37400.112737365707</v>
      </c>
      <c r="CL50" s="48">
        <f t="shared" si="284"/>
        <v>-37400.112737365707</v>
      </c>
      <c r="CM50" s="48">
        <f t="shared" si="284"/>
        <v>-37400.112737365707</v>
      </c>
      <c r="CN50" s="48">
        <f t="shared" si="284"/>
        <v>-37400.112737365707</v>
      </c>
      <c r="CO50" s="48">
        <f t="shared" si="284"/>
        <v>-37400.112737365707</v>
      </c>
      <c r="CP50" s="48">
        <f t="shared" si="284"/>
        <v>-37400.112737365707</v>
      </c>
      <c r="CQ50" s="48">
        <f t="shared" si="284"/>
        <v>-37400.112737365707</v>
      </c>
      <c r="CR50" s="48">
        <f t="shared" si="284"/>
        <v>-37400.112737365707</v>
      </c>
      <c r="CS50" s="48">
        <f t="shared" si="284"/>
        <v>-37400.112737365707</v>
      </c>
      <c r="CT50" s="48">
        <f t="shared" si="284"/>
        <v>-37400.112737365707</v>
      </c>
      <c r="CU50" s="48">
        <f t="shared" ref="CU50:DS50" si="285" xml:space="preserve"> SUM(_xlfn.SINGLE(Salary_Expense),_xlfn.SINGLE(Social_Security_Tax_Expense),_xlfn.SINGLE(Employee_Benefits_Expense),_xlfn.SINGLE(Miscellaneous_Expense))</f>
        <v>-37400.112737365707</v>
      </c>
      <c r="CV50" s="48">
        <f t="shared" si="285"/>
        <v>-38335.11555579985</v>
      </c>
      <c r="CW50" s="48">
        <f t="shared" si="285"/>
        <v>-38335.11555579985</v>
      </c>
      <c r="CX50" s="48">
        <f t="shared" si="285"/>
        <v>-38335.11555579985</v>
      </c>
      <c r="CY50" s="48">
        <f t="shared" si="285"/>
        <v>-38335.11555579985</v>
      </c>
      <c r="CZ50" s="48">
        <f t="shared" si="285"/>
        <v>-38335.11555579985</v>
      </c>
      <c r="DA50" s="48">
        <f t="shared" si="285"/>
        <v>-38335.11555579985</v>
      </c>
      <c r="DB50" s="48">
        <f t="shared" si="285"/>
        <v>-38335.11555579985</v>
      </c>
      <c r="DC50" s="48">
        <f t="shared" si="285"/>
        <v>-38335.11555579985</v>
      </c>
      <c r="DD50" s="48">
        <f t="shared" si="285"/>
        <v>-38335.11555579985</v>
      </c>
      <c r="DE50" s="48">
        <f t="shared" si="285"/>
        <v>-38335.11555579985</v>
      </c>
      <c r="DF50" s="48">
        <f t="shared" si="285"/>
        <v>-38335.11555579985</v>
      </c>
      <c r="DG50" s="48">
        <f t="shared" si="285"/>
        <v>-38335.11555579985</v>
      </c>
      <c r="DH50" s="48">
        <f t="shared" si="285"/>
        <v>-39293.493444694846</v>
      </c>
      <c r="DI50" s="48">
        <f t="shared" si="285"/>
        <v>-39293.493444694846</v>
      </c>
      <c r="DJ50" s="48">
        <f t="shared" si="285"/>
        <v>-39293.493444694846</v>
      </c>
      <c r="DK50" s="48">
        <f t="shared" si="285"/>
        <v>-39293.493444694846</v>
      </c>
      <c r="DL50" s="48">
        <f t="shared" si="285"/>
        <v>-39293.493444694846</v>
      </c>
      <c r="DM50" s="48">
        <f t="shared" si="285"/>
        <v>-39293.493444694846</v>
      </c>
      <c r="DN50" s="48">
        <f t="shared" si="285"/>
        <v>-39293.493444694846</v>
      </c>
      <c r="DO50" s="48">
        <f t="shared" si="285"/>
        <v>-39293.493444694846</v>
      </c>
      <c r="DP50" s="48">
        <f t="shared" si="285"/>
        <v>-39293.493444694846</v>
      </c>
      <c r="DQ50" s="48">
        <f t="shared" si="285"/>
        <v>-39293.493444694846</v>
      </c>
      <c r="DR50" s="48">
        <f t="shared" si="285"/>
        <v>-39293.493444694846</v>
      </c>
      <c r="DS50" s="48">
        <f t="shared" si="285"/>
        <v>-39293.493444694846</v>
      </c>
    </row>
    <row r="51" spans="1:123" x14ac:dyDescent="0.35">
      <c r="A51" s="49"/>
      <c r="B51" s="49"/>
    </row>
    <row r="52" spans="1:123" x14ac:dyDescent="0.35">
      <c r="A52" s="49"/>
      <c r="B52" s="49"/>
    </row>
    <row r="53" spans="1:123" x14ac:dyDescent="0.35">
      <c r="A53" s="51"/>
      <c r="B53" s="51" t="s">
        <v>127</v>
      </c>
    </row>
    <row r="54" spans="1:123" x14ac:dyDescent="0.35">
      <c r="A54" s="49"/>
      <c r="B54" s="56" t="s">
        <v>114</v>
      </c>
      <c r="C54" s="48">
        <f t="shared" ref="C54:BN54" si="286" xml:space="preserve"> _xlfn.SINGLE(electricity_sales_revenue)+_xlfn.SINGLE(store_sales_revenue)</f>
        <v>0</v>
      </c>
      <c r="D54" s="48">
        <f t="shared" si="286"/>
        <v>0</v>
      </c>
      <c r="E54" s="48">
        <f t="shared" si="286"/>
        <v>0</v>
      </c>
      <c r="F54" s="48">
        <f t="shared" si="286"/>
        <v>0</v>
      </c>
      <c r="G54" s="48">
        <f t="shared" si="286"/>
        <v>0</v>
      </c>
      <c r="H54" s="48">
        <f t="shared" si="286"/>
        <v>0</v>
      </c>
      <c r="I54" s="48">
        <f t="shared" si="286"/>
        <v>0</v>
      </c>
      <c r="J54" s="48">
        <f t="shared" si="286"/>
        <v>0</v>
      </c>
      <c r="K54" s="48">
        <f t="shared" si="286"/>
        <v>0</v>
      </c>
      <c r="L54" s="48">
        <f t="shared" si="286"/>
        <v>0</v>
      </c>
      <c r="M54" s="48">
        <f t="shared" si="286"/>
        <v>0</v>
      </c>
      <c r="N54" s="48">
        <f t="shared" si="286"/>
        <v>0</v>
      </c>
      <c r="O54" s="48">
        <f t="shared" si="286"/>
        <v>0</v>
      </c>
      <c r="P54" s="48">
        <f t="shared" si="286"/>
        <v>17856.25</v>
      </c>
      <c r="Q54" s="48">
        <f t="shared" si="286"/>
        <v>18177.5</v>
      </c>
      <c r="R54" s="48">
        <f t="shared" si="286"/>
        <v>18506.178749999999</v>
      </c>
      <c r="S54" s="48">
        <f t="shared" si="286"/>
        <v>18842.485737499999</v>
      </c>
      <c r="T54" s="48">
        <f t="shared" si="286"/>
        <v>19186.626175124999</v>
      </c>
      <c r="U54" s="48">
        <f t="shared" si="286"/>
        <v>19538.811169268749</v>
      </c>
      <c r="V54" s="48">
        <f t="shared" si="286"/>
        <v>19899.257893755414</v>
      </c>
      <c r="W54" s="48">
        <f t="shared" si="286"/>
        <v>20268.189768669054</v>
      </c>
      <c r="X54" s="48">
        <f t="shared" si="286"/>
        <v>20645.836644505376</v>
      </c>
      <c r="Y54" s="48">
        <f t="shared" si="286"/>
        <v>21032.434991804697</v>
      </c>
      <c r="Z54" s="48">
        <f t="shared" si="286"/>
        <v>21428.228096429983</v>
      </c>
      <c r="AA54" s="48">
        <f t="shared" si="286"/>
        <v>21833.466260658635</v>
      </c>
      <c r="AB54" s="48">
        <f t="shared" si="286"/>
        <v>22915.859220569571</v>
      </c>
      <c r="AC54" s="48">
        <f t="shared" si="286"/>
        <v>23353.514766982109</v>
      </c>
      <c r="AD54" s="48">
        <f t="shared" si="286"/>
        <v>23801.717685127496</v>
      </c>
      <c r="AE54" s="48">
        <f t="shared" si="286"/>
        <v>24260.756891363955</v>
      </c>
      <c r="AF54" s="48">
        <f t="shared" si="286"/>
        <v>24730.929660855611</v>
      </c>
      <c r="AG54" s="48">
        <f t="shared" si="286"/>
        <v>25212.541874577008</v>
      </c>
      <c r="AH54" s="48">
        <f t="shared" si="286"/>
        <v>25705.908273676847</v>
      </c>
      <c r="AI54" s="48">
        <f t="shared" si="286"/>
        <v>26211.352721420702</v>
      </c>
      <c r="AJ54" s="48">
        <f t="shared" si="286"/>
        <v>26729.208472939463</v>
      </c>
      <c r="AK54" s="48">
        <f t="shared" si="286"/>
        <v>27259.818453016731</v>
      </c>
      <c r="AL54" s="48">
        <f t="shared" si="286"/>
        <v>27803.535542155696</v>
      </c>
      <c r="AM54" s="48">
        <f t="shared" si="286"/>
        <v>28360.722871172784</v>
      </c>
      <c r="AN54" s="48">
        <f t="shared" si="286"/>
        <v>29799.706748310575</v>
      </c>
      <c r="AO54" s="48">
        <f t="shared" si="286"/>
        <v>30402.524268560948</v>
      </c>
      <c r="AP54" s="48">
        <f t="shared" si="286"/>
        <v>31020.404728671205</v>
      </c>
      <c r="AQ54" s="48">
        <f t="shared" si="286"/>
        <v>31653.767604001132</v>
      </c>
      <c r="AR54" s="48">
        <f t="shared" si="286"/>
        <v>32303.044586103428</v>
      </c>
      <c r="AS54" s="48">
        <f t="shared" si="286"/>
        <v>32968.679944649921</v>
      </c>
      <c r="AT54" s="48">
        <f t="shared" si="286"/>
        <v>33651.130900152595</v>
      </c>
      <c r="AU54" s="48">
        <f t="shared" si="286"/>
        <v>34350.868007801917</v>
      </c>
      <c r="AV54" s="48">
        <f t="shared" si="286"/>
        <v>35068.375552755315</v>
      </c>
      <c r="AW54" s="48">
        <f t="shared" si="286"/>
        <v>35804.151957218011</v>
      </c>
      <c r="AX54" s="48">
        <f t="shared" si="286"/>
        <v>36558.710199669164</v>
      </c>
      <c r="AY54" s="48">
        <f t="shared" si="286"/>
        <v>37332.578246596488</v>
      </c>
      <c r="AZ54" s="48">
        <f t="shared" si="286"/>
        <v>39270.088482027015</v>
      </c>
      <c r="BA54" s="48">
        <f t="shared" si="286"/>
        <v>40108.64623807084</v>
      </c>
      <c r="BB54" s="48">
        <f t="shared" si="286"/>
        <v>40968.821783363266</v>
      </c>
      <c r="BC54" s="48">
        <f t="shared" si="286"/>
        <v>41851.22539225845</v>
      </c>
      <c r="BD54" s="48">
        <f t="shared" si="286"/>
        <v>42756.485207350153</v>
      </c>
      <c r="BE54" s="48">
        <f t="shared" si="286"/>
        <v>43685.247769971109</v>
      </c>
      <c r="BF54" s="48">
        <f t="shared" si="286"/>
        <v>44638.178566528797</v>
      </c>
      <c r="BG54" s="48">
        <f t="shared" si="286"/>
        <v>45615.962591151801</v>
      </c>
      <c r="BH54" s="48">
        <f t="shared" si="286"/>
        <v>46619.304925134427</v>
      </c>
      <c r="BI54" s="48">
        <f t="shared" si="286"/>
        <v>47648.931333682594</v>
      </c>
      <c r="BJ54" s="48">
        <f t="shared" si="286"/>
        <v>48705.588880478375</v>
      </c>
      <c r="BK54" s="48">
        <f t="shared" si="286"/>
        <v>49790.046560596791</v>
      </c>
      <c r="BL54" s="48">
        <f t="shared" si="286"/>
        <v>52430.188830893429</v>
      </c>
      <c r="BM54" s="48">
        <f t="shared" si="286"/>
        <v>53606.918445094037</v>
      </c>
      <c r="BN54" s="48">
        <f t="shared" si="286"/>
        <v>54814.800741986779</v>
      </c>
      <c r="BO54" s="48">
        <f t="shared" ref="BO54:DS54" si="287" xml:space="preserve"> _xlfn.SINGLE(electricity_sales_revenue)+_xlfn.SINGLE(store_sales_revenue)</f>
        <v>56054.72506109051</v>
      </c>
      <c r="BP54" s="48">
        <f t="shared" si="287"/>
        <v>57327.606894721997</v>
      </c>
      <c r="BQ54" s="48">
        <f t="shared" si="287"/>
        <v>58634.388665806313</v>
      </c>
      <c r="BR54" s="48">
        <f t="shared" si="287"/>
        <v>59976.040528924073</v>
      </c>
      <c r="BS54" s="48">
        <f t="shared" si="287"/>
        <v>61353.5611952904</v>
      </c>
      <c r="BT54" s="48">
        <f t="shared" si="287"/>
        <v>62767.978782382772</v>
      </c>
      <c r="BU54" s="48">
        <f t="shared" si="287"/>
        <v>64220.351688954965</v>
      </c>
      <c r="BV54" s="48">
        <f t="shared" si="287"/>
        <v>65711.769496197085</v>
      </c>
      <c r="BW54" s="48">
        <f t="shared" si="287"/>
        <v>67243.35389582481</v>
      </c>
      <c r="BX54" s="48">
        <f t="shared" si="287"/>
        <v>69606.957785263046</v>
      </c>
      <c r="BY54" s="48">
        <f t="shared" si="287"/>
        <v>69954.992574189353</v>
      </c>
      <c r="BZ54" s="48">
        <f t="shared" si="287"/>
        <v>70304.767537060281</v>
      </c>
      <c r="CA54" s="48">
        <f t="shared" si="287"/>
        <v>70656.29137474556</v>
      </c>
      <c r="CB54" s="48">
        <f t="shared" si="287"/>
        <v>71009.572831619284</v>
      </c>
      <c r="CC54" s="48">
        <f t="shared" si="287"/>
        <v>71364.620695777368</v>
      </c>
      <c r="CD54" s="48">
        <f t="shared" si="287"/>
        <v>71721.443799256245</v>
      </c>
      <c r="CE54" s="48">
        <f t="shared" si="287"/>
        <v>72080.051018252518</v>
      </c>
      <c r="CF54" s="48">
        <f t="shared" si="287"/>
        <v>72440.451273343788</v>
      </c>
      <c r="CG54" s="48">
        <f t="shared" si="287"/>
        <v>72802.653529710486</v>
      </c>
      <c r="CH54" s="48">
        <f t="shared" si="287"/>
        <v>73166.666797359037</v>
      </c>
      <c r="CI54" s="48">
        <f t="shared" si="287"/>
        <v>73532.500131345791</v>
      </c>
      <c r="CJ54" s="48">
        <f t="shared" si="287"/>
        <v>76117.167510962609</v>
      </c>
      <c r="CK54" s="48">
        <f t="shared" si="287"/>
        <v>76497.753348517406</v>
      </c>
      <c r="CL54" s="48">
        <f t="shared" si="287"/>
        <v>76880.242115259971</v>
      </c>
      <c r="CM54" s="48">
        <f t="shared" si="287"/>
        <v>77264.643325836252</v>
      </c>
      <c r="CN54" s="48">
        <f t="shared" si="287"/>
        <v>77650.966542465438</v>
      </c>
      <c r="CO54" s="48">
        <f t="shared" si="287"/>
        <v>78039.221375177731</v>
      </c>
      <c r="CP54" s="48">
        <f t="shared" si="287"/>
        <v>78429.417482053628</v>
      </c>
      <c r="CQ54" s="48">
        <f t="shared" si="287"/>
        <v>78821.564569463881</v>
      </c>
      <c r="CR54" s="48">
        <f t="shared" si="287"/>
        <v>79215.672392311186</v>
      </c>
      <c r="CS54" s="48">
        <f t="shared" si="287"/>
        <v>79611.75075427274</v>
      </c>
      <c r="CT54" s="48">
        <f t="shared" si="287"/>
        <v>80009.809508044083</v>
      </c>
      <c r="CU54" s="48">
        <f t="shared" si="287"/>
        <v>80409.858555584302</v>
      </c>
      <c r="CV54" s="48">
        <f t="shared" si="287"/>
        <v>83236.265083813079</v>
      </c>
      <c r="CW54" s="48">
        <f t="shared" si="287"/>
        <v>83652.446409232129</v>
      </c>
      <c r="CX54" s="48">
        <f t="shared" si="287"/>
        <v>84070.708641278266</v>
      </c>
      <c r="CY54" s="48">
        <f t="shared" si="287"/>
        <v>84491.062184484661</v>
      </c>
      <c r="CZ54" s="48">
        <f t="shared" si="287"/>
        <v>84913.517495407068</v>
      </c>
      <c r="DA54" s="48">
        <f t="shared" si="287"/>
        <v>85338.085082884092</v>
      </c>
      <c r="DB54" s="48">
        <f t="shared" si="287"/>
        <v>85764.775508298495</v>
      </c>
      <c r="DC54" s="48">
        <f t="shared" si="287"/>
        <v>86193.599385839974</v>
      </c>
      <c r="DD54" s="48">
        <f t="shared" si="287"/>
        <v>86624.567382769164</v>
      </c>
      <c r="DE54" s="48">
        <f t="shared" si="287"/>
        <v>87057.690219682991</v>
      </c>
      <c r="DF54" s="48">
        <f t="shared" si="287"/>
        <v>87492.97867078142</v>
      </c>
      <c r="DG54" s="48">
        <f t="shared" si="287"/>
        <v>87930.44356413529</v>
      </c>
      <c r="DH54" s="48">
        <f t="shared" si="287"/>
        <v>91021.198655414599</v>
      </c>
      <c r="DI54" s="48">
        <f t="shared" si="287"/>
        <v>91476.304648691672</v>
      </c>
      <c r="DJ54" s="48">
        <f t="shared" si="287"/>
        <v>91933.686171935115</v>
      </c>
      <c r="DK54" s="48">
        <f t="shared" si="287"/>
        <v>92393.354602794774</v>
      </c>
      <c r="DL54" s="48">
        <f t="shared" si="287"/>
        <v>92855.321375808751</v>
      </c>
      <c r="DM54" s="48">
        <f t="shared" si="287"/>
        <v>93319.597982687774</v>
      </c>
      <c r="DN54" s="48">
        <f t="shared" si="287"/>
        <v>93786.195972601199</v>
      </c>
      <c r="DO54" s="48">
        <f t="shared" si="287"/>
        <v>94255.126952464198</v>
      </c>
      <c r="DP54" s="48">
        <f t="shared" si="287"/>
        <v>94726.402587226476</v>
      </c>
      <c r="DQ54" s="48">
        <f t="shared" si="287"/>
        <v>95200.034600162617</v>
      </c>
      <c r="DR54" s="48">
        <f t="shared" si="287"/>
        <v>95676.034773163396</v>
      </c>
      <c r="DS54" s="48">
        <f t="shared" si="287"/>
        <v>96154.414947029203</v>
      </c>
    </row>
    <row r="55" spans="1:123" x14ac:dyDescent="0.35">
      <c r="A55" s="49"/>
      <c r="B55" s="56" t="s">
        <v>39</v>
      </c>
      <c r="C55" s="48">
        <f t="shared" ref="C55:BN55" si="288" xml:space="preserve"> _xlfn.SINGLE(Electricity_Expenses)+_xlfn.SINGLE(In_Store_Sales_Expenses)+_xlfn.SINGLE(Fixed_Operating_Expenses)</f>
        <v>0</v>
      </c>
      <c r="D55" s="48">
        <f t="shared" si="288"/>
        <v>0</v>
      </c>
      <c r="E55" s="48">
        <f t="shared" si="288"/>
        <v>0</v>
      </c>
      <c r="F55" s="48">
        <f t="shared" si="288"/>
        <v>0</v>
      </c>
      <c r="G55" s="48">
        <f t="shared" si="288"/>
        <v>0</v>
      </c>
      <c r="H55" s="48">
        <f t="shared" si="288"/>
        <v>0</v>
      </c>
      <c r="I55" s="48">
        <f t="shared" si="288"/>
        <v>0</v>
      </c>
      <c r="J55" s="48">
        <f t="shared" si="288"/>
        <v>0</v>
      </c>
      <c r="K55" s="48">
        <f t="shared" si="288"/>
        <v>0</v>
      </c>
      <c r="L55" s="48">
        <f t="shared" si="288"/>
        <v>0</v>
      </c>
      <c r="M55" s="48">
        <f t="shared" si="288"/>
        <v>0</v>
      </c>
      <c r="N55" s="48">
        <f t="shared" si="288"/>
        <v>0</v>
      </c>
      <c r="O55" s="48">
        <f t="shared" si="288"/>
        <v>0</v>
      </c>
      <c r="P55" s="48">
        <f t="shared" si="288"/>
        <v>-40393.75</v>
      </c>
      <c r="Q55" s="48">
        <f t="shared" si="288"/>
        <v>-40539.25</v>
      </c>
      <c r="R55" s="48">
        <f t="shared" si="288"/>
        <v>-40688.098749999997</v>
      </c>
      <c r="S55" s="48">
        <f t="shared" si="288"/>
        <v>-40840.385987500005</v>
      </c>
      <c r="T55" s="48">
        <f t="shared" si="288"/>
        <v>-40996.204023625003</v>
      </c>
      <c r="U55" s="48">
        <f t="shared" si="288"/>
        <v>-41155.647818923753</v>
      </c>
      <c r="V55" s="48">
        <f t="shared" si="288"/>
        <v>-41318.815061422865</v>
      </c>
      <c r="W55" s="48">
        <f t="shared" si="288"/>
        <v>-41485.806247003668</v>
      </c>
      <c r="X55" s="48">
        <f t="shared" si="288"/>
        <v>-41656.724762171245</v>
      </c>
      <c r="Y55" s="48">
        <f t="shared" si="288"/>
        <v>-41831.676969287022</v>
      </c>
      <c r="Z55" s="48">
        <f t="shared" si="288"/>
        <v>-42010.772294338676</v>
      </c>
      <c r="AA55" s="48">
        <f t="shared" si="288"/>
        <v>-42194.12331732313</v>
      </c>
      <c r="AB55" s="48">
        <f t="shared" si="288"/>
        <v>-43492.051241280205</v>
      </c>
      <c r="AC55" s="48">
        <f t="shared" si="288"/>
        <v>-43690.030881590537</v>
      </c>
      <c r="AD55" s="48">
        <f t="shared" si="288"/>
        <v>-43892.762227761414</v>
      </c>
      <c r="AE55" s="48">
        <f t="shared" si="288"/>
        <v>-44100.375219347574</v>
      </c>
      <c r="AF55" s="48">
        <f t="shared" si="288"/>
        <v>-44313.003553278439</v>
      </c>
      <c r="AG55" s="48">
        <f t="shared" si="288"/>
        <v>-44530.784794877298</v>
      </c>
      <c r="AH55" s="48">
        <f t="shared" si="288"/>
        <v>-44753.860492188236</v>
      </c>
      <c r="AI55" s="48">
        <f t="shared" si="288"/>
        <v>-44982.376293709538</v>
      </c>
      <c r="AJ55" s="48">
        <f t="shared" si="288"/>
        <v>-45216.482069635553</v>
      </c>
      <c r="AK55" s="48">
        <f t="shared" si="288"/>
        <v>-45456.332036711836</v>
      </c>
      <c r="AL55" s="48">
        <f t="shared" si="288"/>
        <v>-45702.084886811659</v>
      </c>
      <c r="AM55" s="48">
        <f t="shared" si="288"/>
        <v>-45953.903919345059</v>
      </c>
      <c r="AN55" s="48">
        <f t="shared" si="288"/>
        <v>-47433.034642943632</v>
      </c>
      <c r="AO55" s="48">
        <f t="shared" si="288"/>
        <v>-47705.428866916911</v>
      </c>
      <c r="AP55" s="48">
        <f t="shared" si="288"/>
        <v>-47984.605754082178</v>
      </c>
      <c r="AQ55" s="48">
        <f t="shared" si="288"/>
        <v>-48270.753932854917</v>
      </c>
      <c r="AR55" s="48">
        <f t="shared" si="288"/>
        <v>-48564.067522791425</v>
      </c>
      <c r="AS55" s="48">
        <f t="shared" si="288"/>
        <v>-48864.746297261881</v>
      </c>
      <c r="AT55" s="48">
        <f t="shared" si="288"/>
        <v>-49172.995850975502</v>
      </c>
      <c r="AU55" s="48">
        <f t="shared" si="288"/>
        <v>-49489.027772502581</v>
      </c>
      <c r="AV55" s="48">
        <f t="shared" si="288"/>
        <v>-49813.059821943141</v>
      </c>
      <c r="AW55" s="48">
        <f t="shared" si="288"/>
        <v>-50145.316113895919</v>
      </c>
      <c r="AX55" s="48">
        <f t="shared" si="288"/>
        <v>-50486.027305886382</v>
      </c>
      <c r="AY55" s="48">
        <f t="shared" si="288"/>
        <v>-50835.430792417072</v>
      </c>
      <c r="AZ55" s="48">
        <f t="shared" si="288"/>
        <v>-52560.170750702666</v>
      </c>
      <c r="BA55" s="48">
        <f t="shared" si="288"/>
        <v>-52938.724809263287</v>
      </c>
      <c r="BB55" s="48">
        <f t="shared" si="288"/>
        <v>-53327.009203988637</v>
      </c>
      <c r="BC55" s="48">
        <f t="shared" si="288"/>
        <v>-53725.298328272736</v>
      </c>
      <c r="BD55" s="48">
        <f t="shared" si="288"/>
        <v>-54133.874607067846</v>
      </c>
      <c r="BE55" s="48">
        <f t="shared" si="288"/>
        <v>-54553.028735327192</v>
      </c>
      <c r="BF55" s="48">
        <f t="shared" si="288"/>
        <v>-54983.059923565983</v>
      </c>
      <c r="BG55" s="48">
        <f t="shared" si="288"/>
        <v>-55424.276150753612</v>
      </c>
      <c r="BH55" s="48">
        <f t="shared" si="288"/>
        <v>-55876.994424756413</v>
      </c>
      <c r="BI55" s="48">
        <f t="shared" si="288"/>
        <v>-56341.541050557003</v>
      </c>
      <c r="BJ55" s="48">
        <f t="shared" si="288"/>
        <v>-56818.251906482808</v>
      </c>
      <c r="BK55" s="48">
        <f t="shared" si="288"/>
        <v>-57307.472728683577</v>
      </c>
      <c r="BL55" s="48">
        <f t="shared" si="288"/>
        <v>-59370.197572946534</v>
      </c>
      <c r="BM55" s="48">
        <f t="shared" si="288"/>
        <v>-59900.976007095378</v>
      </c>
      <c r="BN55" s="48">
        <f t="shared" si="288"/>
        <v>-60445.772015509472</v>
      </c>
      <c r="BO55" s="48">
        <f t="shared" ref="BO55:DS55" si="289" xml:space="preserve"> _xlfn.SINGLE(Electricity_Expenses)+_xlfn.SINGLE(In_Store_Sales_Expenses)+_xlfn.SINGLE(Fixed_Operating_Expenses)</f>
        <v>-61004.985429758257</v>
      </c>
      <c r="BP55" s="48">
        <f t="shared" si="289"/>
        <v>-61579.02783664428</v>
      </c>
      <c r="BQ55" s="48">
        <f t="shared" si="289"/>
        <v>-62168.322927807836</v>
      </c>
      <c r="BR55" s="48">
        <f t="shared" si="289"/>
        <v>-62773.306859776276</v>
      </c>
      <c r="BS55" s="48">
        <f t="shared" si="289"/>
        <v>-63394.428624770284</v>
      </c>
      <c r="BT55" s="48">
        <f t="shared" si="289"/>
        <v>-64032.150432589449</v>
      </c>
      <c r="BU55" s="48">
        <f t="shared" si="289"/>
        <v>-64686.948103908631</v>
      </c>
      <c r="BV55" s="48">
        <f t="shared" si="289"/>
        <v>-65359.31147532662</v>
      </c>
      <c r="BW55" s="48">
        <f t="shared" si="289"/>
        <v>-66049.74481651916</v>
      </c>
      <c r="BX55" s="48">
        <f t="shared" si="289"/>
        <v>-68010.073994734848</v>
      </c>
      <c r="BY55" s="48">
        <f t="shared" si="289"/>
        <v>-68167.684790379892</v>
      </c>
      <c r="BZ55" s="48">
        <f t="shared" si="289"/>
        <v>-68326.083640003184</v>
      </c>
      <c r="CA55" s="48">
        <f t="shared" si="289"/>
        <v>-68485.274483874571</v>
      </c>
      <c r="CB55" s="48">
        <f t="shared" si="289"/>
        <v>-68645.26128196533</v>
      </c>
      <c r="CC55" s="48">
        <f t="shared" si="289"/>
        <v>-68806.048014046537</v>
      </c>
      <c r="CD55" s="48">
        <f t="shared" si="289"/>
        <v>-68967.638679788157</v>
      </c>
      <c r="CE55" s="48">
        <f t="shared" si="289"/>
        <v>-69130.037298858486</v>
      </c>
      <c r="CF55" s="48">
        <f t="shared" si="289"/>
        <v>-69293.247911024155</v>
      </c>
      <c r="CG55" s="48">
        <f t="shared" si="289"/>
        <v>-69457.274576250653</v>
      </c>
      <c r="CH55" s="48">
        <f t="shared" si="289"/>
        <v>-69622.12137480329</v>
      </c>
      <c r="CI55" s="48">
        <f t="shared" si="289"/>
        <v>-69787.792407348679</v>
      </c>
      <c r="CJ55" s="48">
        <f t="shared" si="289"/>
        <v>-71870.480974579899</v>
      </c>
      <c r="CK55" s="48">
        <f t="shared" si="289"/>
        <v>-72042.832815765971</v>
      </c>
      <c r="CL55" s="48">
        <f t="shared" si="289"/>
        <v>-72216.046416157958</v>
      </c>
      <c r="CM55" s="48">
        <f t="shared" si="289"/>
        <v>-72390.126084551914</v>
      </c>
      <c r="CN55" s="48">
        <f t="shared" si="289"/>
        <v>-72565.076151287853</v>
      </c>
      <c r="CO55" s="48">
        <f t="shared" si="289"/>
        <v>-72740.90096835744</v>
      </c>
      <c r="CP55" s="48">
        <f t="shared" si="289"/>
        <v>-72917.604909512404</v>
      </c>
      <c r="CQ55" s="48">
        <f t="shared" si="289"/>
        <v>-73095.19237037313</v>
      </c>
      <c r="CR55" s="48">
        <f t="shared" si="289"/>
        <v>-73273.667768538158</v>
      </c>
      <c r="CS55" s="48">
        <f t="shared" si="289"/>
        <v>-73453.035543694015</v>
      </c>
      <c r="CT55" s="48">
        <f t="shared" si="289"/>
        <v>-73633.300157725651</v>
      </c>
      <c r="CU55" s="48">
        <f t="shared" si="289"/>
        <v>-73814.466094827454</v>
      </c>
      <c r="CV55" s="48">
        <f t="shared" si="289"/>
        <v>-76029.433433776372</v>
      </c>
      <c r="CW55" s="48">
        <f t="shared" si="289"/>
        <v>-76217.90502316624</v>
      </c>
      <c r="CX55" s="48">
        <f t="shared" si="289"/>
        <v>-76407.318970503082</v>
      </c>
      <c r="CY55" s="48">
        <f t="shared" si="289"/>
        <v>-76597.679987576586</v>
      </c>
      <c r="CZ55" s="48">
        <f t="shared" si="289"/>
        <v>-76788.992809735457</v>
      </c>
      <c r="DA55" s="48">
        <f t="shared" si="289"/>
        <v>-76981.262196005118</v>
      </c>
      <c r="DB55" s="48">
        <f t="shared" si="289"/>
        <v>-77174.492929206142</v>
      </c>
      <c r="DC55" s="48">
        <f t="shared" si="289"/>
        <v>-77368.689816073165</v>
      </c>
      <c r="DD55" s="48">
        <f t="shared" si="289"/>
        <v>-77563.857687374548</v>
      </c>
      <c r="DE55" s="48">
        <f t="shared" si="289"/>
        <v>-77760.001398032415</v>
      </c>
      <c r="DF55" s="48">
        <f t="shared" si="289"/>
        <v>-77957.125827243581</v>
      </c>
      <c r="DG55" s="48">
        <f t="shared" si="289"/>
        <v>-78155.235878600768</v>
      </c>
      <c r="DH55" s="48">
        <f t="shared" si="289"/>
        <v>-80513.290996842203</v>
      </c>
      <c r="DI55" s="48">
        <f t="shared" si="289"/>
        <v>-80719.389984602938</v>
      </c>
      <c r="DJ55" s="48">
        <f t="shared" si="289"/>
        <v>-80926.519467302482</v>
      </c>
      <c r="DK55" s="48">
        <f t="shared" si="289"/>
        <v>-81134.6845974155</v>
      </c>
      <c r="DL55" s="48">
        <f t="shared" si="289"/>
        <v>-81343.89055317911</v>
      </c>
      <c r="DM55" s="48">
        <f t="shared" si="289"/>
        <v>-81554.142538721528</v>
      </c>
      <c r="DN55" s="48">
        <f t="shared" si="289"/>
        <v>-81765.445784191659</v>
      </c>
      <c r="DO55" s="48">
        <f t="shared" si="289"/>
        <v>-81977.805545889132</v>
      </c>
      <c r="DP55" s="48">
        <f t="shared" si="289"/>
        <v>-82191.22710639509</v>
      </c>
      <c r="DQ55" s="48">
        <f t="shared" si="289"/>
        <v>-82405.715774703596</v>
      </c>
      <c r="DR55" s="48">
        <f t="shared" si="289"/>
        <v>-82621.276886353618</v>
      </c>
      <c r="DS55" s="48">
        <f t="shared" si="289"/>
        <v>-82837.915803561904</v>
      </c>
    </row>
    <row r="56" spans="1:123" x14ac:dyDescent="0.35">
      <c r="B56" s="51" t="s">
        <v>128</v>
      </c>
      <c r="C56" s="48">
        <f t="shared" ref="C56:BN56" si="290" xml:space="preserve"> _xlfn.SINGLE(gross_revenue)+_xlfn.SINGLE(Operating_Expenses)</f>
        <v>0</v>
      </c>
      <c r="D56" s="48">
        <f t="shared" si="290"/>
        <v>0</v>
      </c>
      <c r="E56" s="48">
        <f t="shared" si="290"/>
        <v>0</v>
      </c>
      <c r="F56" s="48">
        <f t="shared" si="290"/>
        <v>0</v>
      </c>
      <c r="G56" s="48">
        <f t="shared" si="290"/>
        <v>0</v>
      </c>
      <c r="H56" s="48">
        <f t="shared" si="290"/>
        <v>0</v>
      </c>
      <c r="I56" s="48">
        <f t="shared" si="290"/>
        <v>0</v>
      </c>
      <c r="J56" s="48">
        <f t="shared" si="290"/>
        <v>0</v>
      </c>
      <c r="K56" s="48">
        <f t="shared" si="290"/>
        <v>0</v>
      </c>
      <c r="L56" s="48">
        <f t="shared" si="290"/>
        <v>0</v>
      </c>
      <c r="M56" s="48">
        <f t="shared" si="290"/>
        <v>0</v>
      </c>
      <c r="N56" s="48">
        <f t="shared" si="290"/>
        <v>0</v>
      </c>
      <c r="O56" s="48">
        <f t="shared" si="290"/>
        <v>0</v>
      </c>
      <c r="P56" s="48">
        <f t="shared" si="290"/>
        <v>-22537.5</v>
      </c>
      <c r="Q56" s="48">
        <f t="shared" si="290"/>
        <v>-22361.75</v>
      </c>
      <c r="R56" s="48">
        <f t="shared" si="290"/>
        <v>-22181.919999999998</v>
      </c>
      <c r="S56" s="48">
        <f t="shared" si="290"/>
        <v>-21997.900250000006</v>
      </c>
      <c r="T56" s="48">
        <f t="shared" si="290"/>
        <v>-21809.577848500005</v>
      </c>
      <c r="U56" s="48">
        <f t="shared" si="290"/>
        <v>-21616.836649655004</v>
      </c>
      <c r="V56" s="48">
        <f t="shared" si="290"/>
        <v>-21419.557167667452</v>
      </c>
      <c r="W56" s="48">
        <f t="shared" si="290"/>
        <v>-21217.616478334614</v>
      </c>
      <c r="X56" s="48">
        <f t="shared" si="290"/>
        <v>-21010.888117665869</v>
      </c>
      <c r="Y56" s="48">
        <f t="shared" si="290"/>
        <v>-20799.241977482325</v>
      </c>
      <c r="Z56" s="48">
        <f t="shared" si="290"/>
        <v>-20582.544197908694</v>
      </c>
      <c r="AA56" s="48">
        <f t="shared" si="290"/>
        <v>-20360.657056664495</v>
      </c>
      <c r="AB56" s="48">
        <f t="shared" si="290"/>
        <v>-20576.192020710634</v>
      </c>
      <c r="AC56" s="48">
        <f t="shared" si="290"/>
        <v>-20336.516114608428</v>
      </c>
      <c r="AD56" s="48">
        <f t="shared" si="290"/>
        <v>-20091.044542633917</v>
      </c>
      <c r="AE56" s="48">
        <f t="shared" si="290"/>
        <v>-19839.618327983619</v>
      </c>
      <c r="AF56" s="48">
        <f t="shared" si="290"/>
        <v>-19582.073892422828</v>
      </c>
      <c r="AG56" s="48">
        <f t="shared" si="290"/>
        <v>-19318.24292030029</v>
      </c>
      <c r="AH56" s="48">
        <f t="shared" si="290"/>
        <v>-19047.952218511389</v>
      </c>
      <c r="AI56" s="48">
        <f t="shared" si="290"/>
        <v>-18771.023572288836</v>
      </c>
      <c r="AJ56" s="48">
        <f t="shared" si="290"/>
        <v>-18487.27359669609</v>
      </c>
      <c r="AK56" s="48">
        <f t="shared" si="290"/>
        <v>-18196.513583695105</v>
      </c>
      <c r="AL56" s="48">
        <f t="shared" si="290"/>
        <v>-17898.549344655963</v>
      </c>
      <c r="AM56" s="48">
        <f t="shared" si="290"/>
        <v>-17593.181048172275</v>
      </c>
      <c r="AN56" s="48">
        <f t="shared" si="290"/>
        <v>-17633.327894633057</v>
      </c>
      <c r="AO56" s="48">
        <f t="shared" si="290"/>
        <v>-17302.904598355963</v>
      </c>
      <c r="AP56" s="48">
        <f t="shared" si="290"/>
        <v>-16964.201025410974</v>
      </c>
      <c r="AQ56" s="48">
        <f t="shared" si="290"/>
        <v>-16616.986328853785</v>
      </c>
      <c r="AR56" s="48">
        <f t="shared" si="290"/>
        <v>-16261.022936687998</v>
      </c>
      <c r="AS56" s="48">
        <f t="shared" si="290"/>
        <v>-15896.066352611961</v>
      </c>
      <c r="AT56" s="48">
        <f t="shared" si="290"/>
        <v>-15521.864950822906</v>
      </c>
      <c r="AU56" s="48">
        <f t="shared" si="290"/>
        <v>-15138.159764700664</v>
      </c>
      <c r="AV56" s="48">
        <f t="shared" si="290"/>
        <v>-14744.684269187826</v>
      </c>
      <c r="AW56" s="48">
        <f t="shared" si="290"/>
        <v>-14341.164156677907</v>
      </c>
      <c r="AX56" s="48">
        <f t="shared" si="290"/>
        <v>-13927.317106217219</v>
      </c>
      <c r="AY56" s="48">
        <f t="shared" si="290"/>
        <v>-13502.852545820584</v>
      </c>
      <c r="AZ56" s="48">
        <f t="shared" si="290"/>
        <v>-13290.082268675651</v>
      </c>
      <c r="BA56" s="48">
        <f t="shared" si="290"/>
        <v>-12830.078571192447</v>
      </c>
      <c r="BB56" s="48">
        <f t="shared" si="290"/>
        <v>-12358.187420625371</v>
      </c>
      <c r="BC56" s="48">
        <f t="shared" si="290"/>
        <v>-11874.072936014287</v>
      </c>
      <c r="BD56" s="48">
        <f t="shared" si="290"/>
        <v>-11377.389399717693</v>
      </c>
      <c r="BE56" s="48">
        <f t="shared" si="290"/>
        <v>-10867.780965356083</v>
      </c>
      <c r="BF56" s="48">
        <f t="shared" si="290"/>
        <v>-10344.881357037186</v>
      </c>
      <c r="BG56" s="48">
        <f t="shared" si="290"/>
        <v>-9808.313559601811</v>
      </c>
      <c r="BH56" s="48">
        <f t="shared" si="290"/>
        <v>-9257.6894996219853</v>
      </c>
      <c r="BI56" s="48">
        <f t="shared" si="290"/>
        <v>-8692.6097168744091</v>
      </c>
      <c r="BJ56" s="48">
        <f t="shared" si="290"/>
        <v>-8112.663026004433</v>
      </c>
      <c r="BK56" s="48">
        <f t="shared" si="290"/>
        <v>-7517.4261680867858</v>
      </c>
      <c r="BL56" s="48">
        <f t="shared" si="290"/>
        <v>-6940.0087420531054</v>
      </c>
      <c r="BM56" s="48">
        <f t="shared" si="290"/>
        <v>-6294.0575620013406</v>
      </c>
      <c r="BN56" s="48">
        <f t="shared" si="290"/>
        <v>-5630.9712735226931</v>
      </c>
      <c r="BO56" s="48">
        <f t="shared" ref="BO56:DS56" si="291" xml:space="preserve"> _xlfn.SINGLE(gross_revenue)+_xlfn.SINGLE(Operating_Expenses)</f>
        <v>-4950.2603686677467</v>
      </c>
      <c r="BP56" s="48">
        <f t="shared" si="291"/>
        <v>-4251.4209419222825</v>
      </c>
      <c r="BQ56" s="48">
        <f t="shared" si="291"/>
        <v>-3533.9342620015232</v>
      </c>
      <c r="BR56" s="48">
        <f t="shared" si="291"/>
        <v>-2797.2663308522024</v>
      </c>
      <c r="BS56" s="48">
        <f t="shared" si="291"/>
        <v>-2040.8674294798839</v>
      </c>
      <c r="BT56" s="48">
        <f t="shared" si="291"/>
        <v>-1264.1716502066774</v>
      </c>
      <c r="BU56" s="48">
        <f t="shared" si="291"/>
        <v>-466.59641495366668</v>
      </c>
      <c r="BV56" s="48">
        <f t="shared" si="291"/>
        <v>352.45802087046468</v>
      </c>
      <c r="BW56" s="48">
        <f t="shared" si="291"/>
        <v>1193.6090793056501</v>
      </c>
      <c r="BX56" s="48">
        <f t="shared" si="291"/>
        <v>1596.883790528198</v>
      </c>
      <c r="BY56" s="48">
        <f t="shared" si="291"/>
        <v>1787.3077838094614</v>
      </c>
      <c r="BZ56" s="48">
        <f t="shared" si="291"/>
        <v>1978.6838970570971</v>
      </c>
      <c r="CA56" s="48">
        <f t="shared" si="291"/>
        <v>2171.0168908709893</v>
      </c>
      <c r="CB56" s="48">
        <f t="shared" si="291"/>
        <v>2364.311549653954</v>
      </c>
      <c r="CC56" s="48">
        <f t="shared" si="291"/>
        <v>2558.5726817308314</v>
      </c>
      <c r="CD56" s="48">
        <f t="shared" si="291"/>
        <v>2753.8051194680884</v>
      </c>
      <c r="CE56" s="48">
        <f t="shared" si="291"/>
        <v>2950.0137193940318</v>
      </c>
      <c r="CF56" s="48">
        <f t="shared" si="291"/>
        <v>3147.203362319633</v>
      </c>
      <c r="CG56" s="48">
        <f t="shared" si="291"/>
        <v>3345.3789534598327</v>
      </c>
      <c r="CH56" s="48">
        <f t="shared" si="291"/>
        <v>3544.5454225557478</v>
      </c>
      <c r="CI56" s="48">
        <f t="shared" si="291"/>
        <v>3744.7077239971113</v>
      </c>
      <c r="CJ56" s="48">
        <f t="shared" si="291"/>
        <v>4246.6865363827092</v>
      </c>
      <c r="CK56" s="48">
        <f t="shared" si="291"/>
        <v>4454.9205327514355</v>
      </c>
      <c r="CL56" s="48">
        <f t="shared" si="291"/>
        <v>4664.1956991020124</v>
      </c>
      <c r="CM56" s="48">
        <f t="shared" si="291"/>
        <v>4874.5172412843385</v>
      </c>
      <c r="CN56" s="48">
        <f t="shared" si="291"/>
        <v>5085.8903911775851</v>
      </c>
      <c r="CO56" s="48">
        <f t="shared" si="291"/>
        <v>5298.3204068202904</v>
      </c>
      <c r="CP56" s="48">
        <f t="shared" si="291"/>
        <v>5511.8125725412247</v>
      </c>
      <c r="CQ56" s="48">
        <f t="shared" si="291"/>
        <v>5726.3721990907507</v>
      </c>
      <c r="CR56" s="48">
        <f t="shared" si="291"/>
        <v>5942.0046237730276</v>
      </c>
      <c r="CS56" s="48">
        <f t="shared" si="291"/>
        <v>6158.7152105787245</v>
      </c>
      <c r="CT56" s="48">
        <f t="shared" si="291"/>
        <v>6376.5093503184326</v>
      </c>
      <c r="CU56" s="48">
        <f t="shared" si="291"/>
        <v>6595.3924607568479</v>
      </c>
      <c r="CV56" s="48">
        <f t="shared" si="291"/>
        <v>7206.8316500367073</v>
      </c>
      <c r="CW56" s="48">
        <f t="shared" si="291"/>
        <v>7434.5413860658882</v>
      </c>
      <c r="CX56" s="48">
        <f t="shared" si="291"/>
        <v>7663.3896707751846</v>
      </c>
      <c r="CY56" s="48">
        <f t="shared" si="291"/>
        <v>7893.3821969080745</v>
      </c>
      <c r="CZ56" s="48">
        <f t="shared" si="291"/>
        <v>8124.5246856716112</v>
      </c>
      <c r="DA56" s="48">
        <f t="shared" si="291"/>
        <v>8356.8228868789738</v>
      </c>
      <c r="DB56" s="48">
        <f t="shared" si="291"/>
        <v>8590.2825790923525</v>
      </c>
      <c r="DC56" s="48">
        <f t="shared" si="291"/>
        <v>8824.909569766809</v>
      </c>
      <c r="DD56" s="48">
        <f t="shared" si="291"/>
        <v>9060.7096953946166</v>
      </c>
      <c r="DE56" s="48">
        <f t="shared" si="291"/>
        <v>9297.6888216505758</v>
      </c>
      <c r="DF56" s="48">
        <f t="shared" si="291"/>
        <v>9535.8528435378394</v>
      </c>
      <c r="DG56" s="48">
        <f t="shared" si="291"/>
        <v>9775.2076855345222</v>
      </c>
      <c r="DH56" s="48">
        <f t="shared" si="291"/>
        <v>10507.907658572396</v>
      </c>
      <c r="DI56" s="48">
        <f t="shared" si="291"/>
        <v>10756.914664088734</v>
      </c>
      <c r="DJ56" s="48">
        <f t="shared" si="291"/>
        <v>11007.166704632633</v>
      </c>
      <c r="DK56" s="48">
        <f t="shared" si="291"/>
        <v>11258.670005379274</v>
      </c>
      <c r="DL56" s="48">
        <f t="shared" si="291"/>
        <v>11511.430822629642</v>
      </c>
      <c r="DM56" s="48">
        <f t="shared" si="291"/>
        <v>11765.455443966246</v>
      </c>
      <c r="DN56" s="48">
        <f t="shared" si="291"/>
        <v>12020.75018840954</v>
      </c>
      <c r="DO56" s="48">
        <f t="shared" si="291"/>
        <v>12277.321406575065</v>
      </c>
      <c r="DP56" s="48">
        <f t="shared" si="291"/>
        <v>12535.175480831385</v>
      </c>
      <c r="DQ56" s="48">
        <f t="shared" si="291"/>
        <v>12794.31882545902</v>
      </c>
      <c r="DR56" s="48">
        <f t="shared" si="291"/>
        <v>13054.757886809777</v>
      </c>
      <c r="DS56" s="48">
        <f t="shared" si="291"/>
        <v>13316.499143467299</v>
      </c>
    </row>
    <row r="57" spans="1:123" x14ac:dyDescent="0.35">
      <c r="B57" s="49"/>
    </row>
    <row r="58" spans="1:123" x14ac:dyDescent="0.35">
      <c r="B58" s="49" t="s">
        <v>141</v>
      </c>
      <c r="C58" s="52">
        <f t="shared" ref="C58:AH58" si="292">IF(gross_revenue&lt;&gt;0,EBITDA/gross_revenue, 0)</f>
        <v>0</v>
      </c>
      <c r="D58" s="52">
        <f t="shared" si="292"/>
        <v>0</v>
      </c>
      <c r="E58" s="52">
        <f t="shared" si="292"/>
        <v>0</v>
      </c>
      <c r="F58" s="52">
        <f t="shared" si="292"/>
        <v>0</v>
      </c>
      <c r="G58" s="52">
        <f t="shared" si="292"/>
        <v>0</v>
      </c>
      <c r="H58" s="52">
        <f t="shared" si="292"/>
        <v>0</v>
      </c>
      <c r="I58" s="52">
        <f t="shared" si="292"/>
        <v>0</v>
      </c>
      <c r="J58" s="52">
        <f t="shared" si="292"/>
        <v>0</v>
      </c>
      <c r="K58" s="52">
        <f t="shared" si="292"/>
        <v>0</v>
      </c>
      <c r="L58" s="52">
        <f t="shared" si="292"/>
        <v>0</v>
      </c>
      <c r="M58" s="52">
        <f t="shared" si="292"/>
        <v>0</v>
      </c>
      <c r="N58" s="52">
        <f t="shared" si="292"/>
        <v>0</v>
      </c>
      <c r="O58" s="52">
        <f t="shared" si="292"/>
        <v>0</v>
      </c>
      <c r="P58" s="52">
        <f t="shared" si="292"/>
        <v>-1.2621631081554077</v>
      </c>
      <c r="Q58" s="52">
        <f t="shared" si="292"/>
        <v>-1.2301884197496906</v>
      </c>
      <c r="R58" s="52">
        <f t="shared" si="292"/>
        <v>-1.1986223790257078</v>
      </c>
      <c r="S58" s="52">
        <f t="shared" si="292"/>
        <v>-1.1674627518077487</v>
      </c>
      <c r="T58" s="52">
        <f t="shared" si="292"/>
        <v>-1.1367072902465574</v>
      </c>
      <c r="U58" s="52">
        <f t="shared" si="292"/>
        <v>-1.1063537316771166</v>
      </c>
      <c r="V58" s="52">
        <f t="shared" si="292"/>
        <v>-1.0763997975215509</v>
      </c>
      <c r="W58" s="52">
        <f t="shared" si="292"/>
        <v>-1.0468431922387662</v>
      </c>
      <c r="X58" s="52">
        <f t="shared" si="292"/>
        <v>-1.0176816023223572</v>
      </c>
      <c r="Y58" s="52">
        <f t="shared" si="292"/>
        <v>-0.98891269534824489</v>
      </c>
      <c r="Z58" s="52">
        <f t="shared" si="292"/>
        <v>-0.96053411907342057</v>
      </c>
      <c r="AA58" s="52">
        <f t="shared" si="292"/>
        <v>-0.93254350058707947</v>
      </c>
      <c r="AB58" s="52">
        <f t="shared" si="292"/>
        <v>-0.89790183395092504</v>
      </c>
      <c r="AC58" s="52">
        <f t="shared" si="292"/>
        <v>-0.87081179503484407</v>
      </c>
      <c r="AD58" s="52">
        <f t="shared" si="292"/>
        <v>-0.84410061527567004</v>
      </c>
      <c r="AE58" s="52">
        <f t="shared" si="292"/>
        <v>-0.81776584369656991</v>
      </c>
      <c r="AF58" s="52">
        <f t="shared" si="292"/>
        <v>-0.79180500534994247</v>
      </c>
      <c r="AG58" s="52">
        <f t="shared" si="292"/>
        <v>-0.76621560080698503</v>
      </c>
      <c r="AH58" s="52">
        <f t="shared" si="292"/>
        <v>-0.74099510570559057</v>
      </c>
      <c r="AI58" s="52">
        <f t="shared" ref="AI58:BN58" si="293">IF(gross_revenue&lt;&gt;0,EBITDA/gross_revenue, 0)</f>
        <v>-0.71614097035703894</v>
      </c>
      <c r="AJ58" s="52">
        <f t="shared" si="293"/>
        <v>-0.69165061941181416</v>
      </c>
      <c r="AK58" s="52">
        <f t="shared" si="293"/>
        <v>-0.66752145158477283</v>
      </c>
      <c r="AL58" s="52">
        <f t="shared" si="293"/>
        <v>-0.64375083943976108</v>
      </c>
      <c r="AM58" s="52">
        <f t="shared" si="293"/>
        <v>-0.62033612923367476</v>
      </c>
      <c r="AN58" s="52">
        <f t="shared" si="293"/>
        <v>-0.59172823556838317</v>
      </c>
      <c r="AO58" s="52">
        <f t="shared" si="293"/>
        <v>-0.56912723580156088</v>
      </c>
      <c r="AP58" s="52">
        <f t="shared" si="293"/>
        <v>-0.54687233044807715</v>
      </c>
      <c r="AQ58" s="52">
        <f t="shared" si="293"/>
        <v>-0.52496077360324556</v>
      </c>
      <c r="AR58" s="52">
        <f t="shared" si="293"/>
        <v>-0.50338979328541034</v>
      </c>
      <c r="AS58" s="52">
        <f t="shared" si="293"/>
        <v>-0.48215659162876301</v>
      </c>
      <c r="AT58" s="52">
        <f t="shared" si="293"/>
        <v>-0.46125834513194686</v>
      </c>
      <c r="AU58" s="52">
        <f t="shared" si="293"/>
        <v>-0.44069220496152878</v>
      </c>
      <c r="AV58" s="52">
        <f t="shared" si="293"/>
        <v>-0.4204552973092972</v>
      </c>
      <c r="AW58" s="52">
        <f t="shared" si="293"/>
        <v>-0.40054472380225642</v>
      </c>
      <c r="AX58" s="52">
        <f t="shared" si="293"/>
        <v>-0.38095756196407754</v>
      </c>
      <c r="AY58" s="52">
        <f t="shared" si="293"/>
        <v>-0.36169086572668213</v>
      </c>
      <c r="AZ58" s="52">
        <f t="shared" si="293"/>
        <v>-0.33842761201717703</v>
      </c>
      <c r="BA58" s="52">
        <f t="shared" si="293"/>
        <v>-0.31988311186165713</v>
      </c>
      <c r="BB58" s="52">
        <f t="shared" si="293"/>
        <v>-0.30164859233622915</v>
      </c>
      <c r="BC58" s="52">
        <f t="shared" si="293"/>
        <v>-0.28372103384601799</v>
      </c>
      <c r="BD58" s="52">
        <f t="shared" si="293"/>
        <v>-0.26609739655966475</v>
      </c>
      <c r="BE58" s="52">
        <f t="shared" si="293"/>
        <v>-0.24877462118519811</v>
      </c>
      <c r="BF58" s="52">
        <f t="shared" si="293"/>
        <v>-0.23174962978427002</v>
      </c>
      <c r="BG58" s="52">
        <f t="shared" si="293"/>
        <v>-0.21501932662283321</v>
      </c>
      <c r="BH58" s="52">
        <f t="shared" si="293"/>
        <v>-0.19858059905631015</v>
      </c>
      <c r="BI58" s="52">
        <f t="shared" si="293"/>
        <v>-0.18243031844724045</v>
      </c>
      <c r="BJ58" s="52">
        <f t="shared" si="293"/>
        <v>-0.16656534111336982</v>
      </c>
      <c r="BK58" s="52">
        <f t="shared" si="293"/>
        <v>-0.15098250930409815</v>
      </c>
      <c r="BL58" s="52">
        <f t="shared" si="293"/>
        <v>-0.1323666554861585</v>
      </c>
      <c r="BM58" s="52">
        <f t="shared" si="293"/>
        <v>-0.1174112921347628</v>
      </c>
      <c r="BN58" s="52">
        <f t="shared" si="293"/>
        <v>-0.10272720501215848</v>
      </c>
      <c r="BO58" s="52">
        <f t="shared" ref="BO58:CT58" si="294">IF(gross_revenue&lt;&gt;0,EBITDA/gross_revenue, 0)</f>
        <v>-8.831120593799667E-2</v>
      </c>
      <c r="BP58" s="52">
        <f t="shared" si="294"/>
        <v>-7.4160097939021064E-2</v>
      </c>
      <c r="BQ58" s="52">
        <f t="shared" si="294"/>
        <v>-6.0270676345644238E-2</v>
      </c>
      <c r="BR58" s="52">
        <f t="shared" si="294"/>
        <v>-4.6639729901862916E-2</v>
      </c>
      <c r="BS58" s="52">
        <f t="shared" si="294"/>
        <v>-3.3264041886398997E-2</v>
      </c>
      <c r="BT58" s="52">
        <f t="shared" si="294"/>
        <v>-2.0140391242954844E-2</v>
      </c>
      <c r="BU58" s="52">
        <f t="shared" si="294"/>
        <v>-7.265553717512808E-3</v>
      </c>
      <c r="BV58" s="52">
        <f t="shared" si="294"/>
        <v>5.3636969993763805E-3</v>
      </c>
      <c r="BW58" s="52">
        <f t="shared" si="294"/>
        <v>1.7750588127338516E-2</v>
      </c>
      <c r="BX58" s="52">
        <f t="shared" si="294"/>
        <v>2.2941439208628723E-2</v>
      </c>
      <c r="BY58" s="52">
        <f t="shared" si="294"/>
        <v>2.5549395661988931E-2</v>
      </c>
      <c r="BZ58" s="52">
        <f t="shared" si="294"/>
        <v>2.8144377207620502E-2</v>
      </c>
      <c r="CA58" s="52">
        <f t="shared" si="294"/>
        <v>3.0726448397303915E-2</v>
      </c>
      <c r="CB58" s="52">
        <f t="shared" si="294"/>
        <v>3.3295673461665558E-2</v>
      </c>
      <c r="CC58" s="52">
        <f t="shared" si="294"/>
        <v>3.5852116311776622E-2</v>
      </c>
      <c r="CD58" s="52">
        <f t="shared" si="294"/>
        <v>3.8395840540742784E-2</v>
      </c>
      <c r="CE58" s="52">
        <f t="shared" si="294"/>
        <v>4.0926909425286234E-2</v>
      </c>
      <c r="CF58" s="52">
        <f t="shared" si="294"/>
        <v>4.3445385927319898E-2</v>
      </c>
      <c r="CG58" s="52">
        <f t="shared" si="294"/>
        <v>4.5951332695512208E-2</v>
      </c>
      <c r="CH58" s="52">
        <f t="shared" si="294"/>
        <v>4.8444812066848024E-2</v>
      </c>
      <c r="CI58" s="52">
        <f t="shared" si="294"/>
        <v>5.0925886068176801E-2</v>
      </c>
      <c r="CJ58" s="52">
        <f t="shared" si="294"/>
        <v>5.5791441999875908E-2</v>
      </c>
      <c r="CK58" s="52">
        <f t="shared" si="294"/>
        <v>5.8235965603528089E-2</v>
      </c>
      <c r="CL58" s="52">
        <f t="shared" si="294"/>
        <v>6.0668327398206975E-2</v>
      </c>
      <c r="CM58" s="52">
        <f t="shared" si="294"/>
        <v>6.3088587890424722E-2</v>
      </c>
      <c r="CN58" s="52">
        <f t="shared" si="294"/>
        <v>6.5496807285666356E-2</v>
      </c>
      <c r="CO58" s="52">
        <f t="shared" si="294"/>
        <v>6.7893045489886825E-2</v>
      </c>
      <c r="CP58" s="52">
        <f t="shared" si="294"/>
        <v>7.0277362111001884E-2</v>
      </c>
      <c r="CQ58" s="52">
        <f t="shared" si="294"/>
        <v>7.2649816460369956E-2</v>
      </c>
      <c r="CR58" s="52">
        <f t="shared" si="294"/>
        <v>7.5010467554268587E-2</v>
      </c>
      <c r="CS58" s="52">
        <f t="shared" si="294"/>
        <v>7.735937411536184E-2</v>
      </c>
      <c r="CT58" s="52">
        <f t="shared" si="294"/>
        <v>7.9696594574160895E-2</v>
      </c>
      <c r="CU58" s="52">
        <f t="shared" ref="CU58:DS58" si="295">IF(gross_revenue&lt;&gt;0,EBITDA/gross_revenue, 0)</f>
        <v>8.2022187070478453E-2</v>
      </c>
      <c r="CV58" s="52">
        <f t="shared" si="295"/>
        <v>8.6582833129044579E-2</v>
      </c>
      <c r="CW58" s="52">
        <f t="shared" si="295"/>
        <v>8.8874165732054311E-2</v>
      </c>
      <c r="CX58" s="52">
        <f t="shared" si="295"/>
        <v>9.1154098670372108E-2</v>
      </c>
      <c r="CY58" s="52">
        <f t="shared" si="295"/>
        <v>9.3422688658748559E-2</v>
      </c>
      <c r="CZ58" s="52">
        <f t="shared" si="295"/>
        <v>9.5679992129769714E-2</v>
      </c>
      <c r="DA58" s="52">
        <f t="shared" si="295"/>
        <v>9.7926065235263496E-2</v>
      </c>
      <c r="DB58" s="52">
        <f t="shared" si="295"/>
        <v>0.10016096384769488</v>
      </c>
      <c r="DC58" s="52">
        <f t="shared" si="295"/>
        <v>0.10238474356155708</v>
      </c>
      <c r="DD58" s="52">
        <f t="shared" si="295"/>
        <v>0.10459745969475304</v>
      </c>
      <c r="DE58" s="52">
        <f t="shared" si="295"/>
        <v>0.10679916728997307</v>
      </c>
      <c r="DF58" s="52">
        <f t="shared" si="295"/>
        <v>0.10898992111606289</v>
      </c>
      <c r="DG58" s="52">
        <f t="shared" si="295"/>
        <v>0.11116977566938595</v>
      </c>
      <c r="DH58" s="52">
        <f t="shared" si="295"/>
        <v>0.11544461964682455</v>
      </c>
      <c r="DI58" s="52">
        <f t="shared" si="295"/>
        <v>0.11759236127213391</v>
      </c>
      <c r="DJ58" s="52">
        <f t="shared" si="295"/>
        <v>0.11972941761572511</v>
      </c>
      <c r="DK58" s="52">
        <f t="shared" si="295"/>
        <v>0.12185584183820418</v>
      </c>
      <c r="DL58" s="52">
        <f t="shared" si="295"/>
        <v>0.12397168683569568</v>
      </c>
      <c r="DM58" s="52">
        <f t="shared" si="295"/>
        <v>0.12607700524115975</v>
      </c>
      <c r="DN58" s="52">
        <f t="shared" si="295"/>
        <v>0.12817184942570115</v>
      </c>
      <c r="DO58" s="52">
        <f t="shared" si="295"/>
        <v>0.13025627149987185</v>
      </c>
      <c r="DP58" s="52">
        <f t="shared" si="295"/>
        <v>0.13233032331496677</v>
      </c>
      <c r="DQ58" s="52">
        <f t="shared" si="295"/>
        <v>0.13439405646431526</v>
      </c>
      <c r="DR58" s="52">
        <f t="shared" si="295"/>
        <v>0.13644752228456236</v>
      </c>
      <c r="DS58" s="52">
        <f t="shared" si="295"/>
        <v>0.13849077185694766</v>
      </c>
    </row>
    <row r="59" spans="1:123" x14ac:dyDescent="0.35">
      <c r="B59" s="49" t="s">
        <v>154</v>
      </c>
      <c r="C59" s="68">
        <f t="shared" ref="C59:AH59" si="296" xml:space="preserve"> (_xlfn.XLOOKUP(YEAR(Period_End), subsidy_year, subsidy_annual, 0)/12)</f>
        <v>0</v>
      </c>
      <c r="D59" s="68">
        <f t="shared" si="296"/>
        <v>0</v>
      </c>
      <c r="E59" s="68">
        <f t="shared" si="296"/>
        <v>0</v>
      </c>
      <c r="F59" s="68">
        <f t="shared" si="296"/>
        <v>0</v>
      </c>
      <c r="G59" s="68">
        <f t="shared" si="296"/>
        <v>0</v>
      </c>
      <c r="H59" s="68">
        <f t="shared" si="296"/>
        <v>0</v>
      </c>
      <c r="I59" s="68">
        <f t="shared" si="296"/>
        <v>0</v>
      </c>
      <c r="J59" s="68">
        <f t="shared" si="296"/>
        <v>0</v>
      </c>
      <c r="K59" s="68">
        <f t="shared" si="296"/>
        <v>0</v>
      </c>
      <c r="L59" s="68">
        <f t="shared" si="296"/>
        <v>0</v>
      </c>
      <c r="M59" s="68">
        <f t="shared" si="296"/>
        <v>0</v>
      </c>
      <c r="N59" s="68">
        <f t="shared" si="296"/>
        <v>0</v>
      </c>
      <c r="O59" s="68">
        <f t="shared" si="296"/>
        <v>0</v>
      </c>
      <c r="P59" s="68">
        <f t="shared" si="296"/>
        <v>25444.920236785158</v>
      </c>
      <c r="Q59" s="68">
        <f t="shared" si="296"/>
        <v>25444.920236785158</v>
      </c>
      <c r="R59" s="68">
        <f t="shared" si="296"/>
        <v>25444.920236785158</v>
      </c>
      <c r="S59" s="68">
        <f t="shared" si="296"/>
        <v>25444.920236785158</v>
      </c>
      <c r="T59" s="68">
        <f t="shared" si="296"/>
        <v>25444.920236785158</v>
      </c>
      <c r="U59" s="68">
        <f t="shared" si="296"/>
        <v>25444.920236785158</v>
      </c>
      <c r="V59" s="68">
        <f t="shared" si="296"/>
        <v>25444.920236785158</v>
      </c>
      <c r="W59" s="68">
        <f t="shared" si="296"/>
        <v>25444.920236785158</v>
      </c>
      <c r="X59" s="68">
        <f t="shared" si="296"/>
        <v>25444.920236785158</v>
      </c>
      <c r="Y59" s="68">
        <f t="shared" si="296"/>
        <v>25444.920236785158</v>
      </c>
      <c r="Z59" s="68">
        <f t="shared" si="296"/>
        <v>25444.920236785158</v>
      </c>
      <c r="AA59" s="68">
        <f t="shared" si="296"/>
        <v>25444.920236785158</v>
      </c>
      <c r="AB59" s="68">
        <f t="shared" si="296"/>
        <v>19083.690177588869</v>
      </c>
      <c r="AC59" s="68">
        <f t="shared" si="296"/>
        <v>19083.690177588869</v>
      </c>
      <c r="AD59" s="68">
        <f t="shared" si="296"/>
        <v>19083.690177588869</v>
      </c>
      <c r="AE59" s="68">
        <f t="shared" si="296"/>
        <v>19083.690177588869</v>
      </c>
      <c r="AF59" s="68">
        <f t="shared" si="296"/>
        <v>19083.690177588869</v>
      </c>
      <c r="AG59" s="68">
        <f t="shared" si="296"/>
        <v>19083.690177588869</v>
      </c>
      <c r="AH59" s="68">
        <f t="shared" si="296"/>
        <v>19083.690177588869</v>
      </c>
      <c r="AI59" s="68">
        <f t="shared" ref="AI59:BN59" si="297" xml:space="preserve"> (_xlfn.XLOOKUP(YEAR(Period_End), subsidy_year, subsidy_annual, 0)/12)</f>
        <v>19083.690177588869</v>
      </c>
      <c r="AJ59" s="68">
        <f t="shared" si="297"/>
        <v>19083.690177588869</v>
      </c>
      <c r="AK59" s="68">
        <f t="shared" si="297"/>
        <v>19083.690177588869</v>
      </c>
      <c r="AL59" s="68">
        <f t="shared" si="297"/>
        <v>19083.690177588869</v>
      </c>
      <c r="AM59" s="68">
        <f t="shared" si="297"/>
        <v>19083.690177588869</v>
      </c>
      <c r="AN59" s="68">
        <f t="shared" si="297"/>
        <v>12722.460118392579</v>
      </c>
      <c r="AO59" s="68">
        <f t="shared" si="297"/>
        <v>12722.460118392579</v>
      </c>
      <c r="AP59" s="68">
        <f t="shared" si="297"/>
        <v>12722.460118392579</v>
      </c>
      <c r="AQ59" s="68">
        <f t="shared" si="297"/>
        <v>12722.460118392579</v>
      </c>
      <c r="AR59" s="68">
        <f t="shared" si="297"/>
        <v>12722.460118392579</v>
      </c>
      <c r="AS59" s="68">
        <f t="shared" si="297"/>
        <v>12722.460118392579</v>
      </c>
      <c r="AT59" s="68">
        <f t="shared" si="297"/>
        <v>12722.460118392579</v>
      </c>
      <c r="AU59" s="68">
        <f t="shared" si="297"/>
        <v>12722.460118392579</v>
      </c>
      <c r="AV59" s="68">
        <f t="shared" si="297"/>
        <v>12722.460118392579</v>
      </c>
      <c r="AW59" s="68">
        <f t="shared" si="297"/>
        <v>12722.460118392579</v>
      </c>
      <c r="AX59" s="68">
        <f t="shared" si="297"/>
        <v>12722.460118392579</v>
      </c>
      <c r="AY59" s="68">
        <f t="shared" si="297"/>
        <v>12722.460118392579</v>
      </c>
      <c r="AZ59" s="68">
        <f t="shared" si="297"/>
        <v>0</v>
      </c>
      <c r="BA59" s="68">
        <f t="shared" si="297"/>
        <v>0</v>
      </c>
      <c r="BB59" s="68">
        <f t="shared" si="297"/>
        <v>0</v>
      </c>
      <c r="BC59" s="68">
        <f t="shared" si="297"/>
        <v>0</v>
      </c>
      <c r="BD59" s="68">
        <f t="shared" si="297"/>
        <v>0</v>
      </c>
      <c r="BE59" s="68">
        <f t="shared" si="297"/>
        <v>0</v>
      </c>
      <c r="BF59" s="68">
        <f t="shared" si="297"/>
        <v>0</v>
      </c>
      <c r="BG59" s="68">
        <f t="shared" si="297"/>
        <v>0</v>
      </c>
      <c r="BH59" s="68">
        <f t="shared" si="297"/>
        <v>0</v>
      </c>
      <c r="BI59" s="68">
        <f t="shared" si="297"/>
        <v>0</v>
      </c>
      <c r="BJ59" s="68">
        <f t="shared" si="297"/>
        <v>0</v>
      </c>
      <c r="BK59" s="68">
        <f t="shared" si="297"/>
        <v>0</v>
      </c>
      <c r="BL59" s="68">
        <f t="shared" si="297"/>
        <v>0</v>
      </c>
      <c r="BM59" s="68">
        <f t="shared" si="297"/>
        <v>0</v>
      </c>
      <c r="BN59" s="68">
        <f t="shared" si="297"/>
        <v>0</v>
      </c>
      <c r="BO59" s="68">
        <f t="shared" ref="BO59:CT59" si="298" xml:space="preserve"> (_xlfn.XLOOKUP(YEAR(Period_End), subsidy_year, subsidy_annual, 0)/12)</f>
        <v>0</v>
      </c>
      <c r="BP59" s="68">
        <f t="shared" si="298"/>
        <v>0</v>
      </c>
      <c r="BQ59" s="68">
        <f t="shared" si="298"/>
        <v>0</v>
      </c>
      <c r="BR59" s="68">
        <f t="shared" si="298"/>
        <v>0</v>
      </c>
      <c r="BS59" s="68">
        <f t="shared" si="298"/>
        <v>0</v>
      </c>
      <c r="BT59" s="68">
        <f t="shared" si="298"/>
        <v>0</v>
      </c>
      <c r="BU59" s="68">
        <f t="shared" si="298"/>
        <v>0</v>
      </c>
      <c r="BV59" s="68">
        <f t="shared" si="298"/>
        <v>0</v>
      </c>
      <c r="BW59" s="68">
        <f t="shared" si="298"/>
        <v>0</v>
      </c>
      <c r="BX59" s="68">
        <f t="shared" si="298"/>
        <v>0</v>
      </c>
      <c r="BY59" s="68">
        <f t="shared" si="298"/>
        <v>0</v>
      </c>
      <c r="BZ59" s="68">
        <f t="shared" si="298"/>
        <v>0</v>
      </c>
      <c r="CA59" s="68">
        <f t="shared" si="298"/>
        <v>0</v>
      </c>
      <c r="CB59" s="68">
        <f t="shared" si="298"/>
        <v>0</v>
      </c>
      <c r="CC59" s="68">
        <f t="shared" si="298"/>
        <v>0</v>
      </c>
      <c r="CD59" s="68">
        <f t="shared" si="298"/>
        <v>0</v>
      </c>
      <c r="CE59" s="68">
        <f t="shared" si="298"/>
        <v>0</v>
      </c>
      <c r="CF59" s="68">
        <f t="shared" si="298"/>
        <v>0</v>
      </c>
      <c r="CG59" s="68">
        <f t="shared" si="298"/>
        <v>0</v>
      </c>
      <c r="CH59" s="68">
        <f t="shared" si="298"/>
        <v>0</v>
      </c>
      <c r="CI59" s="68">
        <f t="shared" si="298"/>
        <v>0</v>
      </c>
      <c r="CJ59" s="68">
        <f t="shared" si="298"/>
        <v>0</v>
      </c>
      <c r="CK59" s="68">
        <f t="shared" si="298"/>
        <v>0</v>
      </c>
      <c r="CL59" s="68">
        <f t="shared" si="298"/>
        <v>0</v>
      </c>
      <c r="CM59" s="68">
        <f t="shared" si="298"/>
        <v>0</v>
      </c>
      <c r="CN59" s="68">
        <f t="shared" si="298"/>
        <v>0</v>
      </c>
      <c r="CO59" s="68">
        <f t="shared" si="298"/>
        <v>0</v>
      </c>
      <c r="CP59" s="68">
        <f t="shared" si="298"/>
        <v>0</v>
      </c>
      <c r="CQ59" s="68">
        <f t="shared" si="298"/>
        <v>0</v>
      </c>
      <c r="CR59" s="68">
        <f t="shared" si="298"/>
        <v>0</v>
      </c>
      <c r="CS59" s="68">
        <f t="shared" si="298"/>
        <v>0</v>
      </c>
      <c r="CT59" s="68">
        <f t="shared" si="298"/>
        <v>0</v>
      </c>
      <c r="CU59" s="68">
        <f t="shared" ref="CU59:DS59" si="299" xml:space="preserve"> (_xlfn.XLOOKUP(YEAR(Period_End), subsidy_year, subsidy_annual, 0)/12)</f>
        <v>0</v>
      </c>
      <c r="CV59" s="68">
        <f t="shared" si="299"/>
        <v>0</v>
      </c>
      <c r="CW59" s="68">
        <f t="shared" si="299"/>
        <v>0</v>
      </c>
      <c r="CX59" s="68">
        <f t="shared" si="299"/>
        <v>0</v>
      </c>
      <c r="CY59" s="68">
        <f t="shared" si="299"/>
        <v>0</v>
      </c>
      <c r="CZ59" s="68">
        <f t="shared" si="299"/>
        <v>0</v>
      </c>
      <c r="DA59" s="68">
        <f t="shared" si="299"/>
        <v>0</v>
      </c>
      <c r="DB59" s="68">
        <f t="shared" si="299"/>
        <v>0</v>
      </c>
      <c r="DC59" s="68">
        <f t="shared" si="299"/>
        <v>0</v>
      </c>
      <c r="DD59" s="68">
        <f t="shared" si="299"/>
        <v>0</v>
      </c>
      <c r="DE59" s="68">
        <f t="shared" si="299"/>
        <v>0</v>
      </c>
      <c r="DF59" s="68">
        <f t="shared" si="299"/>
        <v>0</v>
      </c>
      <c r="DG59" s="68">
        <f t="shared" si="299"/>
        <v>0</v>
      </c>
      <c r="DH59" s="68">
        <f t="shared" si="299"/>
        <v>0</v>
      </c>
      <c r="DI59" s="68">
        <f t="shared" si="299"/>
        <v>0</v>
      </c>
      <c r="DJ59" s="68">
        <f t="shared" si="299"/>
        <v>0</v>
      </c>
      <c r="DK59" s="68">
        <f t="shared" si="299"/>
        <v>0</v>
      </c>
      <c r="DL59" s="68">
        <f t="shared" si="299"/>
        <v>0</v>
      </c>
      <c r="DM59" s="68">
        <f t="shared" si="299"/>
        <v>0</v>
      </c>
      <c r="DN59" s="68">
        <f t="shared" si="299"/>
        <v>0</v>
      </c>
      <c r="DO59" s="68">
        <f t="shared" si="299"/>
        <v>0</v>
      </c>
      <c r="DP59" s="68">
        <f t="shared" si="299"/>
        <v>0</v>
      </c>
      <c r="DQ59" s="68">
        <f t="shared" si="299"/>
        <v>0</v>
      </c>
      <c r="DR59" s="68">
        <f t="shared" si="299"/>
        <v>0</v>
      </c>
      <c r="DS59" s="68">
        <f t="shared" si="299"/>
        <v>0</v>
      </c>
    </row>
    <row r="60" spans="1:123" x14ac:dyDescent="0.35">
      <c r="B60" s="49" t="s">
        <v>150</v>
      </c>
      <c r="C60" s="68">
        <f t="shared" ref="C60:AH60" si="300" xml:space="preserve"> _xlfn.SINGLE(EBITDA) + _xlfn.SINGLE(monthly_subsidy)</f>
        <v>0</v>
      </c>
      <c r="D60" s="68">
        <f t="shared" si="300"/>
        <v>0</v>
      </c>
      <c r="E60" s="68">
        <f t="shared" si="300"/>
        <v>0</v>
      </c>
      <c r="F60" s="68">
        <f t="shared" si="300"/>
        <v>0</v>
      </c>
      <c r="G60" s="68">
        <f t="shared" si="300"/>
        <v>0</v>
      </c>
      <c r="H60" s="68">
        <f t="shared" si="300"/>
        <v>0</v>
      </c>
      <c r="I60" s="68">
        <f t="shared" si="300"/>
        <v>0</v>
      </c>
      <c r="J60" s="68">
        <f t="shared" si="300"/>
        <v>0</v>
      </c>
      <c r="K60" s="68">
        <f t="shared" si="300"/>
        <v>0</v>
      </c>
      <c r="L60" s="68">
        <f t="shared" si="300"/>
        <v>0</v>
      </c>
      <c r="M60" s="68">
        <f t="shared" si="300"/>
        <v>0</v>
      </c>
      <c r="N60" s="68">
        <f t="shared" si="300"/>
        <v>0</v>
      </c>
      <c r="O60" s="68">
        <f t="shared" si="300"/>
        <v>0</v>
      </c>
      <c r="P60" s="68">
        <f t="shared" si="300"/>
        <v>2907.4202367851576</v>
      </c>
      <c r="Q60" s="68">
        <f t="shared" si="300"/>
        <v>3083.1702367851576</v>
      </c>
      <c r="R60" s="68">
        <f t="shared" si="300"/>
        <v>3263.0002367851594</v>
      </c>
      <c r="S60" s="68">
        <f t="shared" si="300"/>
        <v>3447.0199867851516</v>
      </c>
      <c r="T60" s="68">
        <f t="shared" si="300"/>
        <v>3635.342388285153</v>
      </c>
      <c r="U60" s="68">
        <f t="shared" si="300"/>
        <v>3828.0835871301533</v>
      </c>
      <c r="V60" s="68">
        <f t="shared" si="300"/>
        <v>4025.3630691177059</v>
      </c>
      <c r="W60" s="68">
        <f t="shared" si="300"/>
        <v>4227.3037584505437</v>
      </c>
      <c r="X60" s="68">
        <f t="shared" si="300"/>
        <v>4434.0321191192888</v>
      </c>
      <c r="Y60" s="68">
        <f t="shared" si="300"/>
        <v>4645.6782593028329</v>
      </c>
      <c r="Z60" s="68">
        <f t="shared" si="300"/>
        <v>4862.376038876464</v>
      </c>
      <c r="AA60" s="68">
        <f t="shared" si="300"/>
        <v>5084.2631801206626</v>
      </c>
      <c r="AB60" s="68">
        <f t="shared" si="300"/>
        <v>-1492.501843121765</v>
      </c>
      <c r="AC60" s="68">
        <f t="shared" si="300"/>
        <v>-1252.8259370195592</v>
      </c>
      <c r="AD60" s="68">
        <f t="shared" si="300"/>
        <v>-1007.3543650450483</v>
      </c>
      <c r="AE60" s="68">
        <f t="shared" si="300"/>
        <v>-755.92815039474954</v>
      </c>
      <c r="AF60" s="68">
        <f t="shared" si="300"/>
        <v>-498.38371483395895</v>
      </c>
      <c r="AG60" s="68">
        <f t="shared" si="300"/>
        <v>-234.55274271142116</v>
      </c>
      <c r="AH60" s="68">
        <f t="shared" si="300"/>
        <v>35.7379590774799</v>
      </c>
      <c r="AI60" s="68">
        <f t="shared" ref="AI60:BN60" si="301" xml:space="preserve"> _xlfn.SINGLE(EBITDA) + _xlfn.SINGLE(monthly_subsidy)</f>
        <v>312.66660530003355</v>
      </c>
      <c r="AJ60" s="68">
        <f t="shared" si="301"/>
        <v>596.41658089277917</v>
      </c>
      <c r="AK60" s="68">
        <f t="shared" si="301"/>
        <v>887.17659389376422</v>
      </c>
      <c r="AL60" s="68">
        <f t="shared" si="301"/>
        <v>1185.1408329329061</v>
      </c>
      <c r="AM60" s="68">
        <f t="shared" si="301"/>
        <v>1490.5091294165941</v>
      </c>
      <c r="AN60" s="68">
        <f t="shared" si="301"/>
        <v>-4910.8677762404786</v>
      </c>
      <c r="AO60" s="68">
        <f t="shared" si="301"/>
        <v>-4580.4444799633839</v>
      </c>
      <c r="AP60" s="68">
        <f t="shared" si="301"/>
        <v>-4241.7409070183949</v>
      </c>
      <c r="AQ60" s="68">
        <f t="shared" si="301"/>
        <v>-3894.5262104612066</v>
      </c>
      <c r="AR60" s="68">
        <f t="shared" si="301"/>
        <v>-3538.5628182954188</v>
      </c>
      <c r="AS60" s="68">
        <f t="shared" si="301"/>
        <v>-3173.6062342193818</v>
      </c>
      <c r="AT60" s="68">
        <f t="shared" si="301"/>
        <v>-2799.4048324303276</v>
      </c>
      <c r="AU60" s="68">
        <f t="shared" si="301"/>
        <v>-2415.699646308085</v>
      </c>
      <c r="AV60" s="68">
        <f t="shared" si="301"/>
        <v>-2022.2241507952476</v>
      </c>
      <c r="AW60" s="68">
        <f t="shared" si="301"/>
        <v>-1618.7040382853284</v>
      </c>
      <c r="AX60" s="68">
        <f t="shared" si="301"/>
        <v>-1204.8569878246399</v>
      </c>
      <c r="AY60" s="68">
        <f t="shared" si="301"/>
        <v>-780.39242742800525</v>
      </c>
      <c r="AZ60" s="68">
        <f t="shared" si="301"/>
        <v>-13290.082268675651</v>
      </c>
      <c r="BA60" s="68">
        <f t="shared" si="301"/>
        <v>-12830.078571192447</v>
      </c>
      <c r="BB60" s="68">
        <f t="shared" si="301"/>
        <v>-12358.187420625371</v>
      </c>
      <c r="BC60" s="68">
        <f t="shared" si="301"/>
        <v>-11874.072936014287</v>
      </c>
      <c r="BD60" s="68">
        <f t="shared" si="301"/>
        <v>-11377.389399717693</v>
      </c>
      <c r="BE60" s="68">
        <f t="shared" si="301"/>
        <v>-10867.780965356083</v>
      </c>
      <c r="BF60" s="68">
        <f t="shared" si="301"/>
        <v>-10344.881357037186</v>
      </c>
      <c r="BG60" s="68">
        <f t="shared" si="301"/>
        <v>-9808.313559601811</v>
      </c>
      <c r="BH60" s="68">
        <f t="shared" si="301"/>
        <v>-9257.6894996219853</v>
      </c>
      <c r="BI60" s="68">
        <f t="shared" si="301"/>
        <v>-8692.6097168744091</v>
      </c>
      <c r="BJ60" s="68">
        <f t="shared" si="301"/>
        <v>-8112.663026004433</v>
      </c>
      <c r="BK60" s="68">
        <f t="shared" si="301"/>
        <v>-7517.4261680867858</v>
      </c>
      <c r="BL60" s="68">
        <f t="shared" si="301"/>
        <v>-6940.0087420531054</v>
      </c>
      <c r="BM60" s="68">
        <f t="shared" si="301"/>
        <v>-6294.0575620013406</v>
      </c>
      <c r="BN60" s="68">
        <f t="shared" si="301"/>
        <v>-5630.9712735226931</v>
      </c>
      <c r="BO60" s="68">
        <f t="shared" ref="BO60:CT60" si="302" xml:space="preserve"> _xlfn.SINGLE(EBITDA) + _xlfn.SINGLE(monthly_subsidy)</f>
        <v>-4950.2603686677467</v>
      </c>
      <c r="BP60" s="68">
        <f t="shared" si="302"/>
        <v>-4251.4209419222825</v>
      </c>
      <c r="BQ60" s="68">
        <f t="shared" si="302"/>
        <v>-3533.9342620015232</v>
      </c>
      <c r="BR60" s="68">
        <f t="shared" si="302"/>
        <v>-2797.2663308522024</v>
      </c>
      <c r="BS60" s="68">
        <f t="shared" si="302"/>
        <v>-2040.8674294798839</v>
      </c>
      <c r="BT60" s="68">
        <f t="shared" si="302"/>
        <v>-1264.1716502066774</v>
      </c>
      <c r="BU60" s="68">
        <f t="shared" si="302"/>
        <v>-466.59641495366668</v>
      </c>
      <c r="BV60" s="68">
        <f t="shared" si="302"/>
        <v>352.45802087046468</v>
      </c>
      <c r="BW60" s="68">
        <f t="shared" si="302"/>
        <v>1193.6090793056501</v>
      </c>
      <c r="BX60" s="68">
        <f t="shared" si="302"/>
        <v>1596.883790528198</v>
      </c>
      <c r="BY60" s="68">
        <f t="shared" si="302"/>
        <v>1787.3077838094614</v>
      </c>
      <c r="BZ60" s="68">
        <f t="shared" si="302"/>
        <v>1978.6838970570971</v>
      </c>
      <c r="CA60" s="68">
        <f t="shared" si="302"/>
        <v>2171.0168908709893</v>
      </c>
      <c r="CB60" s="68">
        <f t="shared" si="302"/>
        <v>2364.311549653954</v>
      </c>
      <c r="CC60" s="68">
        <f t="shared" si="302"/>
        <v>2558.5726817308314</v>
      </c>
      <c r="CD60" s="68">
        <f t="shared" si="302"/>
        <v>2753.8051194680884</v>
      </c>
      <c r="CE60" s="68">
        <f t="shared" si="302"/>
        <v>2950.0137193940318</v>
      </c>
      <c r="CF60" s="68">
        <f t="shared" si="302"/>
        <v>3147.203362319633</v>
      </c>
      <c r="CG60" s="68">
        <f t="shared" si="302"/>
        <v>3345.3789534598327</v>
      </c>
      <c r="CH60" s="68">
        <f t="shared" si="302"/>
        <v>3544.5454225557478</v>
      </c>
      <c r="CI60" s="68">
        <f t="shared" si="302"/>
        <v>3744.7077239971113</v>
      </c>
      <c r="CJ60" s="68">
        <f t="shared" si="302"/>
        <v>4246.6865363827092</v>
      </c>
      <c r="CK60" s="68">
        <f t="shared" si="302"/>
        <v>4454.9205327514355</v>
      </c>
      <c r="CL60" s="68">
        <f t="shared" si="302"/>
        <v>4664.1956991020124</v>
      </c>
      <c r="CM60" s="68">
        <f t="shared" si="302"/>
        <v>4874.5172412843385</v>
      </c>
      <c r="CN60" s="68">
        <f t="shared" si="302"/>
        <v>5085.8903911775851</v>
      </c>
      <c r="CO60" s="68">
        <f t="shared" si="302"/>
        <v>5298.3204068202904</v>
      </c>
      <c r="CP60" s="68">
        <f t="shared" si="302"/>
        <v>5511.8125725412247</v>
      </c>
      <c r="CQ60" s="68">
        <f t="shared" si="302"/>
        <v>5726.3721990907507</v>
      </c>
      <c r="CR60" s="68">
        <f t="shared" si="302"/>
        <v>5942.0046237730276</v>
      </c>
      <c r="CS60" s="68">
        <f t="shared" si="302"/>
        <v>6158.7152105787245</v>
      </c>
      <c r="CT60" s="68">
        <f t="shared" si="302"/>
        <v>6376.5093503184326</v>
      </c>
      <c r="CU60" s="68">
        <f t="shared" ref="CU60:DS60" si="303" xml:space="preserve"> _xlfn.SINGLE(EBITDA) + _xlfn.SINGLE(monthly_subsidy)</f>
        <v>6595.3924607568479</v>
      </c>
      <c r="CV60" s="68">
        <f t="shared" si="303"/>
        <v>7206.8316500367073</v>
      </c>
      <c r="CW60" s="68">
        <f t="shared" si="303"/>
        <v>7434.5413860658882</v>
      </c>
      <c r="CX60" s="68">
        <f t="shared" si="303"/>
        <v>7663.3896707751846</v>
      </c>
      <c r="CY60" s="68">
        <f t="shared" si="303"/>
        <v>7893.3821969080745</v>
      </c>
      <c r="CZ60" s="68">
        <f t="shared" si="303"/>
        <v>8124.5246856716112</v>
      </c>
      <c r="DA60" s="68">
        <f t="shared" si="303"/>
        <v>8356.8228868789738</v>
      </c>
      <c r="DB60" s="68">
        <f t="shared" si="303"/>
        <v>8590.2825790923525</v>
      </c>
      <c r="DC60" s="68">
        <f t="shared" si="303"/>
        <v>8824.909569766809</v>
      </c>
      <c r="DD60" s="68">
        <f t="shared" si="303"/>
        <v>9060.7096953946166</v>
      </c>
      <c r="DE60" s="68">
        <f t="shared" si="303"/>
        <v>9297.6888216505758</v>
      </c>
      <c r="DF60" s="68">
        <f t="shared" si="303"/>
        <v>9535.8528435378394</v>
      </c>
      <c r="DG60" s="68">
        <f t="shared" si="303"/>
        <v>9775.2076855345222</v>
      </c>
      <c r="DH60" s="68">
        <f t="shared" si="303"/>
        <v>10507.907658572396</v>
      </c>
      <c r="DI60" s="68">
        <f t="shared" si="303"/>
        <v>10756.914664088734</v>
      </c>
      <c r="DJ60" s="68">
        <f t="shared" si="303"/>
        <v>11007.166704632633</v>
      </c>
      <c r="DK60" s="68">
        <f t="shared" si="303"/>
        <v>11258.670005379274</v>
      </c>
      <c r="DL60" s="68">
        <f t="shared" si="303"/>
        <v>11511.430822629642</v>
      </c>
      <c r="DM60" s="68">
        <f t="shared" si="303"/>
        <v>11765.455443966246</v>
      </c>
      <c r="DN60" s="68">
        <f t="shared" si="303"/>
        <v>12020.75018840954</v>
      </c>
      <c r="DO60" s="68">
        <f t="shared" si="303"/>
        <v>12277.321406575065</v>
      </c>
      <c r="DP60" s="68">
        <f t="shared" si="303"/>
        <v>12535.175480831385</v>
      </c>
      <c r="DQ60" s="68">
        <f t="shared" si="303"/>
        <v>12794.31882545902</v>
      </c>
      <c r="DR60" s="68">
        <f t="shared" si="303"/>
        <v>13054.757886809777</v>
      </c>
      <c r="DS60" s="68">
        <f t="shared" si="303"/>
        <v>13316.499143467299</v>
      </c>
    </row>
    <row r="61" spans="1:123" x14ac:dyDescent="0.35">
      <c r="B61" s="49" t="s">
        <v>152</v>
      </c>
      <c r="C61" s="69">
        <f>IF(Period_End&lt;&gt;DATE(2030,12,31),0,terminal_value)</f>
        <v>0</v>
      </c>
      <c r="D61" s="69">
        <f>IF(Period_End&lt;&gt;DATE(2030,12,31),0,$O$74)</f>
        <v>0</v>
      </c>
      <c r="E61" s="69">
        <f>IF(Period_End&lt;&gt;DATE(2030,12,31),0,$O$74)</f>
        <v>0</v>
      </c>
      <c r="F61" s="69">
        <f>IF(Period_End&lt;&gt;DATE(2030,12,31),0,$O$74)</f>
        <v>0</v>
      </c>
      <c r="G61" s="69">
        <f>IF(Period_End&lt;&gt;DATE(2030,12,31),0,$O$74)</f>
        <v>0</v>
      </c>
      <c r="H61" s="69">
        <f>IF(Period_End&lt;&gt;DATE(2030,12,31),0,$O$74)</f>
        <v>0</v>
      </c>
      <c r="I61" s="69">
        <f>IF(Period_End&lt;&gt;DATE(2030,12,31),0,$O$74)</f>
        <v>0</v>
      </c>
      <c r="J61" s="69">
        <f>IF(Period_End&lt;&gt;DATE(2030,12,31),0,$O$74)</f>
        <v>0</v>
      </c>
      <c r="K61" s="69">
        <f>IF(Period_End&lt;&gt;DATE(2030,12,31),0,$O$74)</f>
        <v>0</v>
      </c>
      <c r="L61" s="69">
        <f>IF(Period_End&lt;&gt;DATE(2030,12,31),0,$O$74)</f>
        <v>0</v>
      </c>
      <c r="M61" s="69">
        <f>IF(Period_End&lt;&gt;DATE(2030,12,31),0,$O$74)</f>
        <v>0</v>
      </c>
      <c r="N61" s="69">
        <f>IF(Period_End&lt;&gt;DATE(2030,12,31),0,$O$74)</f>
        <v>0</v>
      </c>
      <c r="O61" s="69">
        <f>IF(Period_End&lt;&gt;DATE(2030,12,31),0,$O$74)</f>
        <v>0</v>
      </c>
      <c r="P61" s="69">
        <f>IF(Period_End&lt;&gt;DATE(2030,12,31),0,$O$74)</f>
        <v>0</v>
      </c>
      <c r="Q61" s="69">
        <f>IF(Period_End&lt;&gt;DATE(2030,12,31),0,$O$74)</f>
        <v>0</v>
      </c>
      <c r="R61" s="69">
        <f>IF(Period_End&lt;&gt;DATE(2030,12,31),0,$O$74)</f>
        <v>0</v>
      </c>
      <c r="S61" s="69">
        <f>IF(Period_End&lt;&gt;DATE(2030,12,31),0,$O$74)</f>
        <v>0</v>
      </c>
      <c r="T61" s="69">
        <f>IF(Period_End&lt;&gt;DATE(2030,12,31),0,$O$74)</f>
        <v>0</v>
      </c>
      <c r="U61" s="69">
        <f>IF(Period_End&lt;&gt;DATE(2030,12,31),0,$O$74)</f>
        <v>0</v>
      </c>
      <c r="V61" s="69">
        <f>IF(Period_End&lt;&gt;DATE(2030,12,31),0,$O$74)</f>
        <v>0</v>
      </c>
      <c r="W61" s="69">
        <f>IF(Period_End&lt;&gt;DATE(2030,12,31),0,$O$74)</f>
        <v>0</v>
      </c>
      <c r="X61" s="69">
        <f>IF(Period_End&lt;&gt;DATE(2030,12,31),0,$O$74)</f>
        <v>0</v>
      </c>
      <c r="Y61" s="69">
        <f>IF(Period_End&lt;&gt;DATE(2030,12,31),0,$O$74)</f>
        <v>0</v>
      </c>
      <c r="Z61" s="69">
        <f>IF(Period_End&lt;&gt;DATE(2030,12,31),0,$O$74)</f>
        <v>0</v>
      </c>
      <c r="AA61" s="69">
        <f>IF(Period_End&lt;&gt;DATE(2030,12,31),0,$O$74)</f>
        <v>0</v>
      </c>
      <c r="AB61" s="69">
        <f>IF(Period_End&lt;&gt;DATE(2030,12,31),0,$O$74)</f>
        <v>0</v>
      </c>
      <c r="AC61" s="69">
        <f>IF(Period_End&lt;&gt;DATE(2030,12,31),0,$O$74)</f>
        <v>0</v>
      </c>
      <c r="AD61" s="69">
        <f>IF(Period_End&lt;&gt;DATE(2030,12,31),0,$O$74)</f>
        <v>0</v>
      </c>
      <c r="AE61" s="69">
        <f>IF(Period_End&lt;&gt;DATE(2030,12,31),0,$O$74)</f>
        <v>0</v>
      </c>
      <c r="AF61" s="69">
        <f>IF(Period_End&lt;&gt;DATE(2030,12,31),0,$O$74)</f>
        <v>0</v>
      </c>
      <c r="AG61" s="69">
        <f>IF(Period_End&lt;&gt;DATE(2030,12,31),0,$O$74)</f>
        <v>0</v>
      </c>
      <c r="AH61" s="69">
        <f>IF(Period_End&lt;&gt;DATE(2030,12,31),0,$O$74)</f>
        <v>0</v>
      </c>
      <c r="AI61" s="69">
        <f>IF(Period_End&lt;&gt;DATE(2030,12,31),0,$O$74)</f>
        <v>0</v>
      </c>
      <c r="AJ61" s="69">
        <f>IF(Period_End&lt;&gt;DATE(2030,12,31),0,$O$74)</f>
        <v>0</v>
      </c>
      <c r="AK61" s="69">
        <f>IF(Period_End&lt;&gt;DATE(2030,12,31),0,$O$74)</f>
        <v>0</v>
      </c>
      <c r="AL61" s="69">
        <f>IF(Period_End&lt;&gt;DATE(2030,12,31),0,$O$74)</f>
        <v>0</v>
      </c>
      <c r="AM61" s="69">
        <f>IF(Period_End&lt;&gt;DATE(2030,12,31),0,$O$74)</f>
        <v>0</v>
      </c>
      <c r="AN61" s="69">
        <f>IF(Period_End&lt;&gt;DATE(2030,12,31),0,$O$74)</f>
        <v>0</v>
      </c>
      <c r="AO61" s="69">
        <f>IF(Period_End&lt;&gt;DATE(2030,12,31),0,$O$74)</f>
        <v>0</v>
      </c>
      <c r="AP61" s="69">
        <f>IF(Period_End&lt;&gt;DATE(2030,12,31),0,$O$74)</f>
        <v>0</v>
      </c>
      <c r="AQ61" s="69">
        <f>IF(Period_End&lt;&gt;DATE(2030,12,31),0,$O$74)</f>
        <v>0</v>
      </c>
      <c r="AR61" s="69">
        <f>IF(Period_End&lt;&gt;DATE(2030,12,31),0,$O$74)</f>
        <v>0</v>
      </c>
      <c r="AS61" s="69">
        <f>IF(Period_End&lt;&gt;DATE(2030,12,31),0,$O$74)</f>
        <v>0</v>
      </c>
      <c r="AT61" s="69">
        <f>IF(Period_End&lt;&gt;DATE(2030,12,31),0,$O$74)</f>
        <v>0</v>
      </c>
      <c r="AU61" s="69">
        <f>IF(Period_End&lt;&gt;DATE(2030,12,31),0,$O$74)</f>
        <v>0</v>
      </c>
      <c r="AV61" s="69">
        <f>IF(Period_End&lt;&gt;DATE(2030,12,31),0,$O$74)</f>
        <v>0</v>
      </c>
      <c r="AW61" s="69">
        <f>IF(Period_End&lt;&gt;DATE(2030,12,31),0,$O$74)</f>
        <v>0</v>
      </c>
      <c r="AX61" s="69">
        <f>IF(Period_End&lt;&gt;DATE(2030,12,31),0,$O$74)</f>
        <v>0</v>
      </c>
      <c r="AY61" s="69">
        <f>IF(Period_End&lt;&gt;DATE(2030,12,31),0,$O$74)</f>
        <v>0</v>
      </c>
      <c r="AZ61" s="69">
        <f>IF(Period_End&lt;&gt;DATE(2030,12,31),0,$O$74)</f>
        <v>0</v>
      </c>
      <c r="BA61" s="69">
        <f>IF(Period_End&lt;&gt;DATE(2030,12,31),0,$O$74)</f>
        <v>0</v>
      </c>
      <c r="BB61" s="69">
        <f>IF(Period_End&lt;&gt;DATE(2030,12,31),0,$O$74)</f>
        <v>0</v>
      </c>
      <c r="BC61" s="69">
        <f>IF(Period_End&lt;&gt;DATE(2030,12,31),0,$O$74)</f>
        <v>0</v>
      </c>
      <c r="BD61" s="69">
        <f>IF(Period_End&lt;&gt;DATE(2030,12,31),0,$O$74)</f>
        <v>0</v>
      </c>
      <c r="BE61" s="69">
        <f>IF(Period_End&lt;&gt;DATE(2030,12,31),0,$O$74)</f>
        <v>0</v>
      </c>
      <c r="BF61" s="69">
        <f>IF(Period_End&lt;&gt;DATE(2030,12,31),0,$O$74)</f>
        <v>0</v>
      </c>
      <c r="BG61" s="69">
        <f>IF(Period_End&lt;&gt;DATE(2030,12,31),0,$O$74)</f>
        <v>0</v>
      </c>
      <c r="BH61" s="69">
        <f>IF(Period_End&lt;&gt;DATE(2030,12,31),0,$O$74)</f>
        <v>0</v>
      </c>
      <c r="BI61" s="69">
        <f>IF(Period_End&lt;&gt;DATE(2030,12,31),0,$O$74)</f>
        <v>0</v>
      </c>
      <c r="BJ61" s="69">
        <f>IF(Period_End&lt;&gt;DATE(2030,12,31),0,$O$74)</f>
        <v>0</v>
      </c>
      <c r="BK61" s="69">
        <f>IF(Period_End&lt;&gt;DATE(2030,12,31),0,$O$74)</f>
        <v>0</v>
      </c>
      <c r="BL61" s="69">
        <f>IF(Period_End&lt;&gt;DATE(2030,12,31),0,$O$74)</f>
        <v>0</v>
      </c>
      <c r="BM61" s="69">
        <f>IF(Period_End&lt;&gt;DATE(2030,12,31),0,$O$74)</f>
        <v>0</v>
      </c>
      <c r="BN61" s="69">
        <f>IF(Period_End&lt;&gt;DATE(2030,12,31),0,$O$74)</f>
        <v>0</v>
      </c>
      <c r="BO61" s="69">
        <f>IF(Period_End&lt;&gt;DATE(2030,12,31),0,$O$74)</f>
        <v>0</v>
      </c>
      <c r="BP61" s="69">
        <f>IF(Period_End&lt;&gt;DATE(2030,12,31),0,$O$74)</f>
        <v>0</v>
      </c>
      <c r="BQ61" s="69">
        <f>IF(Period_End&lt;&gt;DATE(2030,12,31),0,$O$74)</f>
        <v>0</v>
      </c>
      <c r="BR61" s="69">
        <f>IF(Period_End&lt;&gt;DATE(2030,12,31),0,$O$74)</f>
        <v>0</v>
      </c>
      <c r="BS61" s="69">
        <f>IF(Period_End&lt;&gt;DATE(2030,12,31),0,$O$74)</f>
        <v>0</v>
      </c>
      <c r="BT61" s="69">
        <f>IF(Period_End&lt;&gt;DATE(2030,12,31),0,$O$74)</f>
        <v>0</v>
      </c>
      <c r="BU61" s="69">
        <f>IF(Period_End&lt;&gt;DATE(2030,12,31),0,$O$74)</f>
        <v>0</v>
      </c>
      <c r="BV61" s="69">
        <f>IF(Period_End&lt;&gt;DATE(2030,12,31),0,$O$74)</f>
        <v>0</v>
      </c>
      <c r="BW61" s="69">
        <f>IF(Period_End&lt;&gt;DATE(2030,12,31),0,$O$74)</f>
        <v>0</v>
      </c>
      <c r="BX61" s="69">
        <f>IF(Period_End&lt;&gt;DATE(2030,12,31),0,$O$74)</f>
        <v>0</v>
      </c>
      <c r="BY61" s="69">
        <f>IF(Period_End&lt;&gt;DATE(2030,12,31),0,$O$74)</f>
        <v>0</v>
      </c>
      <c r="BZ61" s="69">
        <f>IF(Period_End&lt;&gt;DATE(2030,12,31),0,$O$74)</f>
        <v>0</v>
      </c>
      <c r="CA61" s="69">
        <f>IF(Period_End&lt;&gt;DATE(2030,12,31),0,$O$74)</f>
        <v>0</v>
      </c>
      <c r="CB61" s="69">
        <f>IF(Period_End&lt;&gt;DATE(2030,12,31),0,$O$74)</f>
        <v>0</v>
      </c>
      <c r="CC61" s="69">
        <f>IF(Period_End&lt;&gt;DATE(2030,12,31),0,$O$74)</f>
        <v>0</v>
      </c>
      <c r="CD61" s="69">
        <f>IF(Period_End&lt;&gt;DATE(2030,12,31),0,$O$74)</f>
        <v>0</v>
      </c>
      <c r="CE61" s="69">
        <f>IF(Period_End&lt;&gt;DATE(2030,12,31),0,$O$74)</f>
        <v>0</v>
      </c>
      <c r="CF61" s="69">
        <f>IF(Period_End&lt;&gt;DATE(2030,12,31),0,$O$74)</f>
        <v>0</v>
      </c>
      <c r="CG61" s="69">
        <f>IF(Period_End&lt;&gt;DATE(2030,12,31),0,$O$74)</f>
        <v>0</v>
      </c>
      <c r="CH61" s="69">
        <f>IF(Period_End&lt;&gt;DATE(2030,12,31),0,$O$74)</f>
        <v>0</v>
      </c>
      <c r="CI61" s="69">
        <f>IF(Period_End&lt;&gt;DATE(2030,12,31),0,$O$74)</f>
        <v>0</v>
      </c>
      <c r="CJ61" s="69">
        <f>IF(Period_End&lt;&gt;DATE(2030,12,31),0,$O$74)</f>
        <v>0</v>
      </c>
      <c r="CK61" s="69">
        <f>IF(Period_End&lt;&gt;DATE(2030,12,31),0,$O$74)</f>
        <v>0</v>
      </c>
      <c r="CL61" s="69">
        <f>IF(Period_End&lt;&gt;DATE(2030,12,31),0,$O$74)</f>
        <v>0</v>
      </c>
      <c r="CM61" s="69">
        <f>IF(Period_End&lt;&gt;DATE(2030,12,31),0,$O$74)</f>
        <v>0</v>
      </c>
      <c r="CN61" s="69">
        <f>IF(Period_End&lt;&gt;DATE(2030,12,31),0,$O$74)</f>
        <v>0</v>
      </c>
      <c r="CO61" s="69">
        <f>IF(Period_End&lt;&gt;DATE(2030,12,31),0,$O$74)</f>
        <v>0</v>
      </c>
      <c r="CP61" s="69">
        <f>IF(Period_End&lt;&gt;DATE(2030,12,31),0,$O$74)</f>
        <v>0</v>
      </c>
      <c r="CQ61" s="69">
        <f>IF(Period_End&lt;&gt;DATE(2030,12,31),0,$O$74)</f>
        <v>0</v>
      </c>
      <c r="CR61" s="69">
        <f>IF(Period_End&lt;&gt;DATE(2030,12,31),0,$O$74)</f>
        <v>0</v>
      </c>
      <c r="CS61" s="69">
        <f>IF(Period_End&lt;&gt;DATE(2030,12,31),0,$O$74)</f>
        <v>0</v>
      </c>
      <c r="CT61" s="69">
        <f>IF(Period_End&lt;&gt;DATE(2030,12,31),0,$O$74)</f>
        <v>0</v>
      </c>
      <c r="CU61" s="69">
        <f>IF(Period_End&lt;&gt;DATE(2030,12,31),0,$O$74)</f>
        <v>0</v>
      </c>
      <c r="CV61" s="69">
        <f>IF(Period_End&lt;&gt;DATE(2030,12,31),0,$O$74)</f>
        <v>0</v>
      </c>
      <c r="CW61" s="69">
        <f>IF(Period_End&lt;&gt;DATE(2030,12,31),0,$O$74)</f>
        <v>0</v>
      </c>
      <c r="CX61" s="69">
        <f>IF(Period_End&lt;&gt;DATE(2030,12,31),0,$O$74)</f>
        <v>0</v>
      </c>
      <c r="CY61" s="69">
        <f>IF(Period_End&lt;&gt;DATE(2030,12,31),0,$O$74)</f>
        <v>0</v>
      </c>
      <c r="CZ61" s="69">
        <f>IF(Period_End&lt;&gt;DATE(2030,12,31),0,$O$74)</f>
        <v>0</v>
      </c>
      <c r="DA61" s="69">
        <f>IF(Period_End&lt;&gt;DATE(2030,12,31),0,$O$74)</f>
        <v>0</v>
      </c>
      <c r="DB61" s="69">
        <f>IF(Period_End&lt;&gt;DATE(2030,12,31),0,$O$74)</f>
        <v>0</v>
      </c>
      <c r="DC61" s="69">
        <f>IF(Period_End&lt;&gt;DATE(2030,12,31),0,$O$74)</f>
        <v>0</v>
      </c>
      <c r="DD61" s="69">
        <f>IF(Period_End&lt;&gt;DATE(2030,12,31),0,$O$74)</f>
        <v>0</v>
      </c>
      <c r="DE61" s="69">
        <f>IF(Period_End&lt;&gt;DATE(2030,12,31),0,$O$74)</f>
        <v>0</v>
      </c>
      <c r="DF61" s="69">
        <f>IF(Period_End&lt;&gt;DATE(2030,12,31),0,$O$74)</f>
        <v>0</v>
      </c>
      <c r="DG61" s="69">
        <f>IF(Period_End&lt;&gt;DATE(2030,12,31),0,$O$74)</f>
        <v>0</v>
      </c>
      <c r="DH61" s="69">
        <f>IF(Period_End&lt;&gt;DATE(2030,12,31),0,$O$74)</f>
        <v>0</v>
      </c>
      <c r="DI61" s="69">
        <f>IF(Period_End&lt;&gt;DATE(2030,12,31),0,$O$74)</f>
        <v>0</v>
      </c>
      <c r="DJ61" s="69">
        <f>IF(Period_End&lt;&gt;DATE(2030,12,31),0,$O$74)</f>
        <v>0</v>
      </c>
      <c r="DK61" s="69">
        <f>IF(Period_End&lt;&gt;DATE(2030,12,31),0,$O$74)</f>
        <v>0</v>
      </c>
      <c r="DL61" s="69">
        <f>IF(Period_End&lt;&gt;DATE(2030,12,31),0,$O$74)</f>
        <v>0</v>
      </c>
      <c r="DM61" s="69">
        <f>IF(Period_End&lt;&gt;DATE(2030,12,31),0,$O$74)</f>
        <v>0</v>
      </c>
      <c r="DN61" s="69">
        <f>IF(Period_End&lt;&gt;DATE(2030,12,31),0,$O$74)</f>
        <v>0</v>
      </c>
      <c r="DO61" s="69">
        <f>IF(Period_End&lt;&gt;DATE(2030,12,31),0,$O$74)</f>
        <v>0</v>
      </c>
      <c r="DP61" s="69">
        <f>IF(Period_End&lt;&gt;DATE(2030,12,31),0,$O$74)</f>
        <v>0</v>
      </c>
      <c r="DQ61" s="69">
        <f>IF(Period_End&lt;&gt;DATE(2030,12,31),0,$O$74)</f>
        <v>0</v>
      </c>
      <c r="DR61" s="69">
        <f>IF(Period_End&lt;&gt;DATE(2030,12,31),0,$O$74)</f>
        <v>0</v>
      </c>
      <c r="DS61" s="69">
        <f>IF(Period_End&lt;&gt;DATE(2030,12,31),0,$O$74)</f>
        <v>999644.57761574711</v>
      </c>
    </row>
    <row r="62" spans="1:123" x14ac:dyDescent="0.35">
      <c r="B62" s="49" t="s">
        <v>153</v>
      </c>
      <c r="C62" s="75">
        <f xml:space="preserve"> _xlfn.SINGLE(Subsidized_EBITDA) + _xlfn.SINGLE(CapEx) + _xlfn.SINGLE(loan_draw) + _xlfn.SINGLE(principal_repayment) + _xlfn.SINGLE(interest) + _xlfn.SINGLE(Liquidation_cf)</f>
        <v>-10000</v>
      </c>
      <c r="D62" s="75">
        <f t="shared" ref="D62:AH62" ca="1" si="304" xml:space="preserve"> _xlfn.SINGLE(Subsidized_EBITDA) + _xlfn.SINGLE(CapEx) + _xlfn.SINGLE(loan_draw) + _xlfn.SINGLE(principal_repayment) + _xlfn.SINGLE(interest) + _xlfn.SINGLE(Liquidation_cf)</f>
        <v>-6101.9178082191784</v>
      </c>
      <c r="E62" s="75">
        <f t="shared" ca="1" si="304"/>
        <v>-6147.2876712328771</v>
      </c>
      <c r="F62" s="75">
        <f t="shared" ca="1" si="304"/>
        <v>-6224.2191780821922</v>
      </c>
      <c r="G62" s="75">
        <f t="shared" ca="1" si="304"/>
        <v>-6276.1643835616442</v>
      </c>
      <c r="H62" s="75">
        <f t="shared" ca="1" si="304"/>
        <v>-6346.5205479452052</v>
      </c>
      <c r="I62" s="75">
        <f t="shared" ca="1" si="304"/>
        <v>-21394.520547945205</v>
      </c>
      <c r="J62" s="75">
        <f t="shared" ca="1" si="304"/>
        <v>-6621.6986301369861</v>
      </c>
      <c r="K62" s="75">
        <f t="shared" ca="1" si="304"/>
        <v>-6682.8493150684935</v>
      </c>
      <c r="L62" s="75">
        <f t="shared" ca="1" si="304"/>
        <v>-6720</v>
      </c>
      <c r="M62" s="75">
        <f t="shared" ca="1" si="304"/>
        <v>-6805.1506849315065</v>
      </c>
      <c r="N62" s="75">
        <f t="shared" ca="1" si="304"/>
        <v>-6838.3561643835619</v>
      </c>
      <c r="O62" s="75">
        <f t="shared" ca="1" si="304"/>
        <v>-21927.452054794521</v>
      </c>
      <c r="P62" s="75">
        <f t="shared" ca="1" si="304"/>
        <v>-2382.207363417785</v>
      </c>
      <c r="Q62" s="75">
        <f t="shared" ca="1" si="304"/>
        <v>-2086.445186857663</v>
      </c>
      <c r="R62" s="75">
        <f t="shared" ca="1" si="304"/>
        <v>-2005.4888550463979</v>
      </c>
      <c r="S62" s="75">
        <f t="shared" ca="1" si="304"/>
        <v>-1775.1007641027222</v>
      </c>
      <c r="T62" s="75">
        <f t="shared" ca="1" si="304"/>
        <v>-1612.0081951750194</v>
      </c>
      <c r="U62" s="75">
        <f t="shared" ca="1" si="304"/>
        <v>-1373.5805427531541</v>
      </c>
      <c r="V62" s="75">
        <f t="shared" ca="1" si="304"/>
        <v>-1200.8490059710812</v>
      </c>
      <c r="W62" s="75">
        <f t="shared" ca="1" si="304"/>
        <v>-988.33906245255093</v>
      </c>
      <c r="X62" s="75">
        <f t="shared" ca="1" si="304"/>
        <v>-736.94707925716955</v>
      </c>
      <c r="Y62" s="75">
        <f t="shared" ca="1" si="304"/>
        <v>-548.82605322887684</v>
      </c>
      <c r="Z62" s="75">
        <f t="shared" ca="1" si="304"/>
        <v>-288.1465384954281</v>
      </c>
      <c r="AA62" s="75">
        <f t="shared" ca="1" si="304"/>
        <v>-89.102624039661805</v>
      </c>
      <c r="AB62" s="75">
        <f t="shared" ca="1" si="304"/>
        <v>-6655.2983930963965</v>
      </c>
      <c r="AC62" s="75">
        <f t="shared" ca="1" si="304"/>
        <v>-6307.8842830368094</v>
      </c>
      <c r="AD62" s="75">
        <f t="shared" ca="1" si="304"/>
        <v>-6149.0124066482949</v>
      </c>
      <c r="AE62" s="75">
        <f t="shared" ca="1" si="304"/>
        <v>-5855.3091752552264</v>
      </c>
      <c r="AF62" s="75">
        <f t="shared" ca="1" si="304"/>
        <v>-5618.9032480658207</v>
      </c>
      <c r="AG62" s="75">
        <f t="shared" ca="1" si="304"/>
        <v>-5313.4771465673311</v>
      </c>
      <c r="AH62" s="75">
        <f t="shared" ca="1" si="304"/>
        <v>-5063.6430657829969</v>
      </c>
      <c r="AI62" s="75">
        <f t="shared" ref="AI62:BN62" ca="1" si="305" xml:space="preserve"> _xlfn.SINGLE(Subsidized_EBITDA) + _xlfn.SINGLE(CapEx) + _xlfn.SINGLE(loan_draw) + _xlfn.SINGLE(principal_repayment) + _xlfn.SINGLE(interest) + _xlfn.SINGLE(Liquidation_cf)</f>
        <v>-4776.1451653747508</v>
      </c>
      <c r="AJ62" s="75">
        <f t="shared" ca="1" si="305"/>
        <v>-4451.8228914562824</v>
      </c>
      <c r="AK62" s="75">
        <f t="shared" ca="1" si="305"/>
        <v>-4180.4966684096353</v>
      </c>
      <c r="AL62" s="75">
        <f t="shared" ca="1" si="305"/>
        <v>-3842.6420184115887</v>
      </c>
      <c r="AM62" s="75">
        <f t="shared" ca="1" si="305"/>
        <v>-3556.0256245154196</v>
      </c>
      <c r="AN62" s="75">
        <f t="shared" ca="1" si="305"/>
        <v>-9946.8332759868008</v>
      </c>
      <c r="AO62" s="75">
        <f t="shared" ca="1" si="305"/>
        <v>-9549.2440740780457</v>
      </c>
      <c r="AP62" s="75">
        <f t="shared" ca="1" si="305"/>
        <v>-9256.5678983933321</v>
      </c>
      <c r="AQ62" s="75">
        <f t="shared" ca="1" si="305"/>
        <v>-8871.167509294286</v>
      </c>
      <c r="AR62" s="75">
        <f t="shared" ca="1" si="305"/>
        <v>-8532.2513012989693</v>
      </c>
      <c r="AS62" s="75">
        <f t="shared" ca="1" si="305"/>
        <v>-8129.7909120478953</v>
      </c>
      <c r="AT62" s="75">
        <f t="shared" ca="1" si="305"/>
        <v>-7771.9548070624933</v>
      </c>
      <c r="AU62" s="75">
        <f t="shared" ca="1" si="305"/>
        <v>-7377.6803667545591</v>
      </c>
      <c r="AV62" s="75">
        <f t="shared" ca="1" si="305"/>
        <v>-6947.7238971169118</v>
      </c>
      <c r="AW62" s="75">
        <f t="shared" ca="1" si="305"/>
        <v>-6559.5462503604167</v>
      </c>
      <c r="AX62" s="75">
        <f t="shared" ca="1" si="305"/>
        <v>-6109.9001131417381</v>
      </c>
      <c r="AY62" s="75">
        <f t="shared" ca="1" si="305"/>
        <v>-5700.0961311317087</v>
      </c>
      <c r="AZ62" s="75">
        <f t="shared" ca="1" si="305"/>
        <v>-18199.21671819366</v>
      </c>
      <c r="BA62" s="75">
        <f t="shared" ca="1" si="305"/>
        <v>-17656.022761958553</v>
      </c>
      <c r="BB62" s="75">
        <f t="shared" ca="1" si="305"/>
        <v>-17246.183361771993</v>
      </c>
      <c r="BC62" s="75">
        <f t="shared" ca="1" si="305"/>
        <v>-16727.974508819971</v>
      </c>
      <c r="BD62" s="75">
        <f t="shared" ca="1" si="305"/>
        <v>-16244.246832492934</v>
      </c>
      <c r="BE62" s="75">
        <f t="shared" ca="1" si="305"/>
        <v>-15701.2259171572</v>
      </c>
      <c r="BF62" s="75">
        <f t="shared" ca="1" si="305"/>
        <v>-15190.600281441042</v>
      </c>
      <c r="BG62" s="75">
        <f t="shared" ca="1" si="305"/>
        <v>-14643.463229819974</v>
      </c>
      <c r="BH62" s="75">
        <f t="shared" ca="1" si="305"/>
        <v>-14060.449519916252</v>
      </c>
      <c r="BI62" s="75">
        <f t="shared" ca="1" si="305"/>
        <v>-13506.620878721187</v>
      </c>
      <c r="BJ62" s="75">
        <f t="shared" ca="1" si="305"/>
        <v>-12894.966425294133</v>
      </c>
      <c r="BK62" s="75">
        <f t="shared" ca="1" si="305"/>
        <v>-12310.298821562179</v>
      </c>
      <c r="BL62" s="75">
        <f t="shared" ca="1" si="305"/>
        <v>-11722.312141342805</v>
      </c>
      <c r="BM62" s="75">
        <f t="shared" ca="1" si="305"/>
        <v>-11005.444675141878</v>
      </c>
      <c r="BN62" s="75">
        <f t="shared" ca="1" si="305"/>
        <v>-10392.136164441008</v>
      </c>
      <c r="BO62" s="75">
        <f t="shared" ref="BO62:CT62" ca="1" si="306" xml:space="preserve"> _xlfn.SINGLE(Subsidized_EBITDA) + _xlfn.SINGLE(CapEx) + _xlfn.SINGLE(loan_draw) + _xlfn.SINGLE(principal_repayment) + _xlfn.SINGLE(interest) + _xlfn.SINGLE(Liquidation_cf)</f>
        <v>-9681.4222154460313</v>
      </c>
      <c r="BP62" s="75">
        <f t="shared" ca="1" si="306"/>
        <v>-8991.4473244692126</v>
      </c>
      <c r="BQ62" s="75">
        <f t="shared" ca="1" si="306"/>
        <v>-8244.6394877752427</v>
      </c>
      <c r="BR62" s="75">
        <f t="shared" ca="1" si="306"/>
        <v>-7516.1542050277476</v>
      </c>
      <c r="BS62" s="75">
        <f t="shared" ca="1" si="306"/>
        <v>-6749.1860494697366</v>
      </c>
      <c r="BT62" s="75">
        <f t="shared" ca="1" si="306"/>
        <v>-5944.1919444735468</v>
      </c>
      <c r="BU62" s="75">
        <f t="shared" ca="1" si="306"/>
        <v>-5153.7765265721346</v>
      </c>
      <c r="BV62" s="75">
        <f t="shared" ca="1" si="306"/>
        <v>-4307.1056523918387</v>
      </c>
      <c r="BW62" s="75">
        <f t="shared" ca="1" si="306"/>
        <v>-3472.4325239414325</v>
      </c>
      <c r="BX62" s="75">
        <f t="shared" ca="1" si="306"/>
        <v>-3058.5885585331921</v>
      </c>
      <c r="BY62" s="75">
        <f t="shared" ca="1" si="306"/>
        <v>-2809.5222517055054</v>
      </c>
      <c r="BZ62" s="75">
        <f t="shared" ca="1" si="306"/>
        <v>-2655.6499436329077</v>
      </c>
      <c r="CA62" s="75">
        <f t="shared" ca="1" si="306"/>
        <v>-2437.4052298798983</v>
      </c>
      <c r="CB62" s="75">
        <f t="shared" ca="1" si="306"/>
        <v>-2248.8837826646659</v>
      </c>
      <c r="CC62" s="75">
        <f t="shared" ca="1" si="306"/>
        <v>-2029.3928180154903</v>
      </c>
      <c r="CD62" s="75">
        <f t="shared" ca="1" si="306"/>
        <v>-1838.2517044791466</v>
      </c>
      <c r="CE62" s="75">
        <f t="shared" ca="1" si="306"/>
        <v>-1631.4738503675105</v>
      </c>
      <c r="CF62" s="75">
        <f t="shared" ca="1" si="306"/>
        <v>-1410.0772059198393</v>
      </c>
      <c r="CG62" s="75">
        <f t="shared" ca="1" si="306"/>
        <v>-1214.9701079303245</v>
      </c>
      <c r="CH62" s="75">
        <f t="shared" ca="1" si="306"/>
        <v>-992.27852467915841</v>
      </c>
      <c r="CI62" s="75">
        <f t="shared" ca="1" si="306"/>
        <v>-794.502829021661</v>
      </c>
      <c r="CJ62" s="75">
        <f t="shared" ca="1" si="306"/>
        <v>-281.95476245037048</v>
      </c>
      <c r="CK62" s="75">
        <f t="shared" ca="1" si="306"/>
        <v>-39.28545405729102</v>
      </c>
      <c r="CL62" s="75">
        <f t="shared" ca="1" si="306"/>
        <v>156.69290864031785</v>
      </c>
      <c r="CM62" s="75">
        <f t="shared" ca="1" si="306"/>
        <v>388.83484656084784</v>
      </c>
      <c r="CN62" s="75">
        <f t="shared" ca="1" si="306"/>
        <v>599.52610908727547</v>
      </c>
      <c r="CO62" s="75">
        <f t="shared" ca="1" si="306"/>
        <v>833.09463310136596</v>
      </c>
      <c r="CP62" s="75">
        <f t="shared" ca="1" si="306"/>
        <v>1046.5867988223001</v>
      </c>
      <c r="CQ62" s="75">
        <f t="shared" ca="1" si="306"/>
        <v>1271.7156795575188</v>
      </c>
      <c r="CR62" s="75">
        <f t="shared" ca="1" si="306"/>
        <v>1507.4637815609524</v>
      </c>
      <c r="CS62" s="75">
        <f t="shared" ca="1" si="306"/>
        <v>1725.1971994168775</v>
      </c>
      <c r="CT62" s="75">
        <f t="shared" ca="1" si="306"/>
        <v>1962.4251291109235</v>
      </c>
      <c r="CU62" s="75">
        <f t="shared" ref="CU62:DS62" ca="1" si="307" xml:space="preserve"> _xlfn.SINGLE(Subsidized_EBITDA) + _xlfn.SINGLE(CapEx) + _xlfn.SINGLE(loan_draw) + _xlfn.SINGLE(principal_repayment) + _xlfn.SINGLE(interest) + _xlfn.SINGLE(Liquidation_cf)</f>
        <v>2183.0129579663862</v>
      </c>
      <c r="CV62" s="75">
        <f t="shared" ca="1" si="307"/>
        <v>2805.0214014319381</v>
      </c>
      <c r="CW62" s="75">
        <f t="shared" ca="1" si="307"/>
        <v>3066.8255058020627</v>
      </c>
      <c r="CX62" s="75">
        <f t="shared" ca="1" si="307"/>
        <v>3282.7179305418003</v>
      </c>
      <c r="CY62" s="75">
        <f t="shared" ca="1" si="307"/>
        <v>3530.4395282119813</v>
      </c>
      <c r="CZ62" s="75">
        <f t="shared" ca="1" si="307"/>
        <v>3764.9914538096123</v>
      </c>
      <c r="DA62" s="75">
        <f t="shared" ca="1" si="307"/>
        <v>4014.3368391874465</v>
      </c>
      <c r="DB62" s="75">
        <f t="shared" ca="1" si="307"/>
        <v>4251.8878556017389</v>
      </c>
      <c r="DC62" s="75">
        <f t="shared" ca="1" si="307"/>
        <v>4497.0841004618878</v>
      </c>
      <c r="DD62" s="75">
        <f t="shared" ca="1" si="307"/>
        <v>4748.9085792099386</v>
      </c>
      <c r="DE62" s="75">
        <f t="shared" ca="1" si="307"/>
        <v>4991.0018607170396</v>
      </c>
      <c r="DF62" s="75">
        <f t="shared" ca="1" si="307"/>
        <v>5244.5083483577273</v>
      </c>
      <c r="DG62" s="75">
        <f t="shared" ca="1" si="307"/>
        <v>5489.6592329723708</v>
      </c>
      <c r="DH62" s="75">
        <f t="shared" ca="1" si="307"/>
        <v>6232.9284601959371</v>
      </c>
      <c r="DI62" s="75">
        <f t="shared" ca="1" si="307"/>
        <v>6503.7558614504787</v>
      </c>
      <c r="DJ62" s="75">
        <f t="shared" ca="1" si="307"/>
        <v>6753.3260146275588</v>
      </c>
      <c r="DK62" s="75">
        <f t="shared" ca="1" si="307"/>
        <v>7018.4670627105779</v>
      </c>
      <c r="DL62" s="75">
        <f t="shared" ca="1" si="307"/>
        <v>7278.7286409959534</v>
      </c>
      <c r="DM62" s="75">
        <f t="shared" ca="1" si="307"/>
        <v>7545.7091223021162</v>
      </c>
      <c r="DN62" s="75">
        <f t="shared" ca="1" si="307"/>
        <v>7809.1865151472366</v>
      </c>
      <c r="DO62" s="75">
        <f t="shared" ca="1" si="307"/>
        <v>8076.3269874984544</v>
      </c>
      <c r="DP62" s="75">
        <f t="shared" ca="1" si="307"/>
        <v>8346.1140906741039</v>
      </c>
      <c r="DQ62" s="75">
        <f t="shared" ca="1" si="307"/>
        <v>8614.4629147537944</v>
      </c>
      <c r="DR62" s="75">
        <f t="shared" ca="1" si="307"/>
        <v>8886.1531176570625</v>
      </c>
      <c r="DS62" s="75">
        <f t="shared" ca="1" si="307"/>
        <v>1008802.3593568805</v>
      </c>
    </row>
    <row r="63" spans="1:123" x14ac:dyDescent="0.35">
      <c r="B63" s="49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5"/>
      <c r="BL63" s="75"/>
      <c r="BM63" s="75"/>
      <c r="BN63" s="75"/>
      <c r="BO63" s="75"/>
      <c r="BP63" s="75"/>
      <c r="BQ63" s="75"/>
      <c r="BR63" s="75"/>
      <c r="BS63" s="75"/>
      <c r="BT63" s="75"/>
      <c r="BU63" s="75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</row>
    <row r="64" spans="1:123" x14ac:dyDescent="0.35">
      <c r="C64" s="96" t="s">
        <v>167</v>
      </c>
      <c r="D64" s="96"/>
      <c r="E64" s="96"/>
      <c r="F64" s="96"/>
      <c r="H64" s="102" t="s">
        <v>164</v>
      </c>
      <c r="I64" s="102"/>
      <c r="J64" s="102"/>
      <c r="K64" s="102"/>
      <c r="N64" s="82" t="s">
        <v>162</v>
      </c>
      <c r="O64" s="81">
        <v>0.4</v>
      </c>
    </row>
    <row r="65" spans="2:15" x14ac:dyDescent="0.35">
      <c r="B65" s="49"/>
      <c r="C65" s="103" t="s">
        <v>168</v>
      </c>
      <c r="D65" s="104"/>
      <c r="E65" s="104"/>
      <c r="F65" s="105"/>
      <c r="H65" s="88"/>
      <c r="I65" s="87">
        <v>2022</v>
      </c>
      <c r="J65" s="87">
        <v>2023</v>
      </c>
      <c r="K65" s="87">
        <v>2024</v>
      </c>
      <c r="N65" s="77" t="s">
        <v>158</v>
      </c>
      <c r="O65" s="80">
        <v>9</v>
      </c>
    </row>
    <row r="66" spans="2:15" x14ac:dyDescent="0.35">
      <c r="B66" s="49"/>
      <c r="C66" s="103"/>
      <c r="D66" s="104"/>
      <c r="E66" s="104"/>
      <c r="F66" s="105"/>
      <c r="H66" s="88" t="s">
        <v>165</v>
      </c>
      <c r="I66" s="89">
        <f>SUM(INDEX( EBITDA, _xlfn.XMATCH(DATE(I65,1,1), period_start)):
INDEX(EBITDA, _xlfn.XMATCH(DATE(I65,12,31), Period_End)))</f>
        <v>-257895.98974387848</v>
      </c>
      <c r="J66" s="89">
        <f>SUM(INDEX( EBITDA, _xlfn.XMATCH(DATE(J65,1,1), period_start)):
INDEX(EBITDA, _xlfn.XMATCH(DATE(J65,12,31), Period_End)))</f>
        <v>-229738.18118267934</v>
      </c>
      <c r="K66" s="89">
        <f>SUM(INDEX( EBITDA, _xlfn.XMATCH(DATE(K65,1,1), period_start)):
INDEX(EBITDA, _xlfn.XMATCH(DATE(K65,12,31), Period_End)))</f>
        <v>-187850.55192998081</v>
      </c>
      <c r="N66" s="77" t="s">
        <v>80</v>
      </c>
      <c r="O66" s="77">
        <f xml:space="preserve"> SUM(CapEx)</f>
        <v>-560000</v>
      </c>
    </row>
    <row r="67" spans="2:15" x14ac:dyDescent="0.35">
      <c r="B67" s="49"/>
      <c r="C67" s="115" t="s">
        <v>171</v>
      </c>
      <c r="D67" s="116"/>
      <c r="E67" s="116"/>
      <c r="F67" s="117"/>
      <c r="H67" s="88" t="s">
        <v>166</v>
      </c>
      <c r="I67" s="89">
        <f>SUM(INDEX(gross_revenue, _xlfn.XMATCH(DATE(subsidy_year,1,1), period_start)):
INDEX(gross_revenue, _xlfn.XMATCH(DATE(subsidy_year,12,31), Period_End)))</f>
        <v>237215.26548771694</v>
      </c>
      <c r="J67" s="89">
        <f>SUM(INDEX(gross_revenue, _xlfn.XMATCH(DATE(subsidy_year,1,1), period_start)):
INDEX(gross_revenue, _xlfn.XMATCH(DATE(subsidy_year,12,31), Period_End)))</f>
        <v>306345.86643385794</v>
      </c>
      <c r="K67" s="89">
        <f>SUM(INDEX(gross_revenue, _xlfn.XMATCH(DATE(subsidy_year,1,1), period_start)):
INDEX(gross_revenue, _xlfn.XMATCH(DATE(subsidy_year,12,31), Period_End)))</f>
        <v>400913.94274449069</v>
      </c>
      <c r="N67" s="77" t="s">
        <v>79</v>
      </c>
      <c r="O67" s="77">
        <f xml:space="preserve"> SUM(loan_draw)</f>
        <v>448000</v>
      </c>
    </row>
    <row r="68" spans="2:15" x14ac:dyDescent="0.35">
      <c r="B68" s="49"/>
      <c r="C68" s="109" t="s">
        <v>170</v>
      </c>
      <c r="D68" s="109"/>
      <c r="E68" s="110">
        <f xml:space="preserve"> ABS(CapEx_Summation)</f>
        <v>560000</v>
      </c>
      <c r="F68" s="110"/>
      <c r="H68" s="88" t="s">
        <v>142</v>
      </c>
      <c r="I68" s="89">
        <f xml:space="preserve"> (I67*target_ebitda_2022)-I66</f>
        <v>305339.04284142191</v>
      </c>
      <c r="J68" s="89">
        <f xml:space="preserve"> subsidy_fraction_2023 * I68</f>
        <v>229004.28213106643</v>
      </c>
      <c r="K68" s="89">
        <f xml:space="preserve"> subsidy_fraction_2024 * I68</f>
        <v>152669.52142071095</v>
      </c>
      <c r="N68" s="77" t="s">
        <v>81</v>
      </c>
      <c r="O68" s="77">
        <f xml:space="preserve"> SUM(equity_contribution)</f>
        <v>-111999.99999999999</v>
      </c>
    </row>
    <row r="69" spans="2:15" x14ac:dyDescent="0.35">
      <c r="B69" s="49"/>
      <c r="C69" s="107" t="s">
        <v>169</v>
      </c>
      <c r="D69" s="106"/>
      <c r="E69" s="111">
        <f xml:space="preserve"> Debt_pct/(1-Debt_pct)</f>
        <v>4.0000000000000009</v>
      </c>
      <c r="F69" s="111"/>
      <c r="H69" s="88" t="s">
        <v>143</v>
      </c>
      <c r="I69" s="90">
        <f xml:space="preserve"> (I68+I66) / I67</f>
        <v>0.20000000000000015</v>
      </c>
      <c r="J69" s="90">
        <f t="shared" ref="J69:K69" si="308" xml:space="preserve"> (J68+J66) / J67</f>
        <v>-2.3956551467664931E-3</v>
      </c>
      <c r="K69" s="90">
        <f t="shared" si="308"/>
        <v>-8.7752075341743174E-2</v>
      </c>
      <c r="N69" s="77" t="s">
        <v>85</v>
      </c>
      <c r="O69" s="78">
        <f xml:space="preserve"> _xlfn.XLOOKUP(ops_start_date, period_start, Month)</f>
        <v>13</v>
      </c>
    </row>
    <row r="70" spans="2:15" x14ac:dyDescent="0.35">
      <c r="B70" s="49"/>
      <c r="C70" s="109" t="s">
        <v>172</v>
      </c>
      <c r="D70" s="109"/>
      <c r="E70" s="112">
        <f xml:space="preserve"> i_rate</f>
        <v>0.03</v>
      </c>
      <c r="F70" s="112"/>
      <c r="N70" s="77" t="s">
        <v>86</v>
      </c>
      <c r="O70" s="78">
        <f xml:space="preserve"> _xlfn.XLOOKUP(growth_slowdown_date, period_start, Month)</f>
        <v>73</v>
      </c>
    </row>
    <row r="71" spans="2:15" x14ac:dyDescent="0.35">
      <c r="C71" s="109" t="s">
        <v>173</v>
      </c>
      <c r="D71" s="109"/>
      <c r="E71" s="109">
        <f xml:space="preserve"> repayment_years</f>
        <v>9</v>
      </c>
      <c r="F71" s="109"/>
      <c r="H71" s="97" t="s">
        <v>186</v>
      </c>
      <c r="I71" s="97"/>
      <c r="J71" s="97"/>
      <c r="K71" s="97"/>
      <c r="N71" s="77" t="s">
        <v>87</v>
      </c>
      <c r="O71" s="78">
        <f xml:space="preserve"> mini_ini_pct*cars_initial</f>
        <v>100</v>
      </c>
    </row>
    <row r="72" spans="2:15" x14ac:dyDescent="0.35">
      <c r="C72" s="115" t="s">
        <v>174</v>
      </c>
      <c r="D72" s="116"/>
      <c r="E72" s="116"/>
      <c r="F72" s="117"/>
      <c r="G72" s="93"/>
      <c r="H72" s="79"/>
      <c r="I72" s="79"/>
      <c r="J72" s="100" t="s">
        <v>160</v>
      </c>
      <c r="K72" s="101"/>
      <c r="N72" s="77" t="s">
        <v>88</v>
      </c>
      <c r="O72" s="78">
        <f xml:space="preserve"> reg_ini_pct*cars_initial</f>
        <v>500</v>
      </c>
    </row>
    <row r="73" spans="2:15" x14ac:dyDescent="0.35">
      <c r="C73" s="109" t="s">
        <v>175</v>
      </c>
      <c r="D73" s="109"/>
      <c r="E73" s="113">
        <f xml:space="preserve"> SUM(mini_customer_FCST, reg_customer_FCST, prem_customer_FCST)/repayment_years</f>
        <v>37522.110096824188</v>
      </c>
      <c r="F73" s="113"/>
      <c r="H73" s="79"/>
      <c r="I73" s="77">
        <f ca="1" xml:space="preserve"> E93</f>
        <v>82875.987349374278</v>
      </c>
      <c r="J73" s="92">
        <v>0.4</v>
      </c>
      <c r="K73" s="81">
        <v>0.5</v>
      </c>
      <c r="N73" s="77" t="s">
        <v>89</v>
      </c>
      <c r="O73" s="78">
        <f xml:space="preserve"> prem_ini_pct*cars_initial</f>
        <v>400</v>
      </c>
    </row>
    <row r="74" spans="2:15" x14ac:dyDescent="0.35">
      <c r="C74" s="109" t="s">
        <v>176</v>
      </c>
      <c r="D74" s="109"/>
      <c r="E74" s="114">
        <f xml:space="preserve"> SUM(total_kWh)</f>
        <v>9858979.5158819277</v>
      </c>
      <c r="F74" s="114"/>
      <c r="H74" s="98" t="s">
        <v>159</v>
      </c>
      <c r="I74" s="80">
        <v>8</v>
      </c>
      <c r="J74" s="83">
        <f t="dataTable" ref="J74:K75" dt2D="1" dtr="1" r1="O64" r2="O65" ca="1"/>
        <v>418593.97572123882</v>
      </c>
      <c r="K74" s="83">
        <v>597008.16753366974</v>
      </c>
      <c r="N74" s="79" t="s">
        <v>149</v>
      </c>
      <c r="O74" s="119">
        <f xml:space="preserve"> ev_ebitda_multiple * SUM(INDEX( EBITDA, _xlfn.XMATCH(DATE(2030,1,1), period_start)):
INDEX(EBITDA, _xlfn.XMATCH(DATE(2030,12,31), Period_End)))</f>
        <v>999644.57761574711</v>
      </c>
    </row>
    <row r="75" spans="2:15" x14ac:dyDescent="0.35">
      <c r="C75" s="109" t="s">
        <v>177</v>
      </c>
      <c r="D75" s="109"/>
      <c r="E75" s="109" t="s">
        <v>178</v>
      </c>
      <c r="F75" s="109"/>
      <c r="H75" s="99"/>
      <c r="I75" s="91">
        <v>9</v>
      </c>
      <c r="J75" s="83">
        <v>82875.987349374278</v>
      </c>
      <c r="K75" s="83">
        <v>261290.17916180548</v>
      </c>
      <c r="N75" s="79" t="s">
        <v>163</v>
      </c>
      <c r="O75" s="83">
        <f ca="1" xml:space="preserve"> XNPV(discount_rate, FCFE, Period_End)</f>
        <v>82875.987349374278</v>
      </c>
    </row>
    <row r="76" spans="2:15" x14ac:dyDescent="0.35">
      <c r="C76" s="109" t="s">
        <v>179</v>
      </c>
      <c r="D76" s="109"/>
      <c r="E76" s="109" t="s">
        <v>180</v>
      </c>
      <c r="F76" s="109"/>
    </row>
    <row r="77" spans="2:15" x14ac:dyDescent="0.35">
      <c r="C77" s="115" t="s">
        <v>181</v>
      </c>
      <c r="D77" s="116"/>
      <c r="E77" s="116"/>
      <c r="F77" s="117"/>
    </row>
    <row r="78" spans="2:15" x14ac:dyDescent="0.35">
      <c r="C78" s="109" t="s">
        <v>183</v>
      </c>
      <c r="D78" s="109"/>
      <c r="E78" s="109" t="s">
        <v>182</v>
      </c>
      <c r="F78" s="109"/>
      <c r="H78" s="9" t="s">
        <v>84</v>
      </c>
      <c r="I78" s="10"/>
      <c r="J78" s="10"/>
      <c r="K78" s="10"/>
      <c r="L78" s="10"/>
    </row>
    <row r="79" spans="2:15" x14ac:dyDescent="0.35">
      <c r="C79" s="109" t="s">
        <v>185</v>
      </c>
      <c r="D79" s="109"/>
      <c r="E79" s="109" t="s">
        <v>184</v>
      </c>
      <c r="F79" s="109"/>
      <c r="H79" s="11" t="s">
        <v>73</v>
      </c>
      <c r="I79" s="6"/>
      <c r="J79" s="6"/>
      <c r="K79" s="73" t="s">
        <v>16</v>
      </c>
      <c r="L79" s="74">
        <v>44197</v>
      </c>
    </row>
    <row r="80" spans="2:15" ht="15" thickBot="1" x14ac:dyDescent="0.4">
      <c r="C80" s="108"/>
      <c r="D80" s="108"/>
      <c r="E80" s="108"/>
      <c r="F80" s="108"/>
      <c r="G80" s="48"/>
      <c r="H80" s="11" t="s">
        <v>77</v>
      </c>
      <c r="I80" s="6"/>
      <c r="J80" s="6"/>
      <c r="K80" s="73" t="s">
        <v>16</v>
      </c>
      <c r="L80" s="71">
        <v>44562</v>
      </c>
    </row>
    <row r="81" spans="3:12" x14ac:dyDescent="0.35">
      <c r="C81" s="57" t="s">
        <v>90</v>
      </c>
      <c r="D81" s="58" t="s">
        <v>105</v>
      </c>
      <c r="E81" s="86">
        <f xml:space="preserve"> ABS(CapEx_Summation)</f>
        <v>560000</v>
      </c>
      <c r="F81" s="118"/>
      <c r="G81" s="48"/>
      <c r="H81" s="11" t="s">
        <v>74</v>
      </c>
      <c r="I81" s="6"/>
      <c r="J81" s="6"/>
      <c r="K81" s="73" t="s">
        <v>16</v>
      </c>
      <c r="L81" s="71">
        <v>46388</v>
      </c>
    </row>
    <row r="82" spans="3:12" x14ac:dyDescent="0.35">
      <c r="C82" s="59" t="s">
        <v>91</v>
      </c>
      <c r="D82" s="48" t="s">
        <v>106</v>
      </c>
      <c r="E82" s="65">
        <f ca="1" xml:space="preserve"> _xlfn.XLOOKUP(DATE(2021, 12, 31), Period_End, period_ending_balance)</f>
        <v>448000</v>
      </c>
      <c r="F82" s="118"/>
      <c r="G82" s="48"/>
      <c r="H82" s="11" t="s">
        <v>78</v>
      </c>
      <c r="I82" s="6"/>
      <c r="J82" s="6"/>
      <c r="K82" s="73" t="s">
        <v>16</v>
      </c>
      <c r="L82" s="72">
        <v>44562</v>
      </c>
    </row>
    <row r="83" spans="3:12" x14ac:dyDescent="0.35">
      <c r="C83" s="59" t="s">
        <v>92</v>
      </c>
      <c r="D83" s="48" t="s">
        <v>107</v>
      </c>
      <c r="E83" s="62">
        <f ca="1" xml:space="preserve"> ABS(SUM(interest))</f>
        <v>67137.217656012232</v>
      </c>
      <c r="F83" s="118"/>
    </row>
    <row r="84" spans="3:12" x14ac:dyDescent="0.35">
      <c r="C84" s="59" t="s">
        <v>93</v>
      </c>
      <c r="D84" s="48" t="s">
        <v>145</v>
      </c>
      <c r="E84" s="60">
        <f xml:space="preserve"> prem_avg_charge*prem_batt_capacity</f>
        <v>40</v>
      </c>
      <c r="F84" s="118"/>
    </row>
    <row r="85" spans="3:12" x14ac:dyDescent="0.35">
      <c r="C85" s="59" t="s">
        <v>94</v>
      </c>
      <c r="D85" s="48" t="s">
        <v>146</v>
      </c>
      <c r="E85" s="61">
        <f xml:space="preserve"> _xlfn.XLOOKUP(DATE(2026, 12, 31), Period_End, reg_customer_FCST)</f>
        <v>2860.0015068183161</v>
      </c>
      <c r="F85" s="118"/>
    </row>
    <row r="86" spans="3:12" x14ac:dyDescent="0.35">
      <c r="C86" s="59" t="s">
        <v>95</v>
      </c>
      <c r="D86" s="48" t="s">
        <v>147</v>
      </c>
      <c r="E86" s="61">
        <f xml:space="preserve"> _xlfn.XLOOKUP(DATE(2027, 1, 31), Period_End, prem_customer_FCST)</f>
        <v>723.08126022055899</v>
      </c>
      <c r="F86" s="118"/>
    </row>
    <row r="87" spans="3:12" x14ac:dyDescent="0.35">
      <c r="C87" s="59" t="s">
        <v>96</v>
      </c>
      <c r="D87" s="48" t="s">
        <v>108</v>
      </c>
      <c r="E87" s="66" cm="1">
        <f t="array" ref="E87" xml:space="preserve"> SUM(mini_customer_FCST+reg_customer_FCST+prem_customer_FCST)</f>
        <v>337698.99087141792</v>
      </c>
      <c r="F87" s="118"/>
    </row>
    <row r="88" spans="3:12" x14ac:dyDescent="0.35">
      <c r="C88" s="59" t="s">
        <v>97</v>
      </c>
      <c r="D88" s="48" t="s">
        <v>109</v>
      </c>
      <c r="E88" s="67">
        <f xml:space="preserve"> SUM(total_kWh)</f>
        <v>9858979.5158819277</v>
      </c>
      <c r="F88" s="118"/>
    </row>
    <row r="89" spans="3:12" x14ac:dyDescent="0.35">
      <c r="C89" s="59" t="s">
        <v>98</v>
      </c>
      <c r="D89" s="48" t="s">
        <v>110</v>
      </c>
      <c r="E89" s="84">
        <f xml:space="preserve"> SUM(store_sales_revenue, electricity_sales_revenue)</f>
        <v>6137428.1363503002</v>
      </c>
    </row>
    <row r="90" spans="3:12" x14ac:dyDescent="0.35">
      <c r="C90" s="59" t="s">
        <v>99</v>
      </c>
      <c r="D90" s="48" t="s">
        <v>144</v>
      </c>
      <c r="E90" s="84">
        <f xml:space="preserve"> ABS(SUM(Fixed_Operating_Expenses))</f>
        <v>3852398.7747898726</v>
      </c>
    </row>
    <row r="91" spans="3:12" x14ac:dyDescent="0.35">
      <c r="C91" s="59" t="s">
        <v>100</v>
      </c>
      <c r="D91" s="48" t="s">
        <v>148</v>
      </c>
      <c r="E91" s="84">
        <f xml:space="preserve"> I68</f>
        <v>305339.04284142191</v>
      </c>
    </row>
    <row r="92" spans="3:12" x14ac:dyDescent="0.35">
      <c r="C92" s="59" t="s">
        <v>101</v>
      </c>
      <c r="D92" s="48" t="s">
        <v>151</v>
      </c>
      <c r="E92" s="84">
        <f xml:space="preserve"> O74</f>
        <v>999644.57761574711</v>
      </c>
    </row>
    <row r="93" spans="3:12" x14ac:dyDescent="0.35">
      <c r="C93" s="59" t="s">
        <v>102</v>
      </c>
      <c r="D93" t="s">
        <v>155</v>
      </c>
      <c r="E93" s="84">
        <f ca="1" xml:space="preserve"> O75</f>
        <v>82875.987349374278</v>
      </c>
      <c r="K93" t="s">
        <v>161</v>
      </c>
    </row>
    <row r="94" spans="3:12" x14ac:dyDescent="0.35">
      <c r="C94" s="59" t="s">
        <v>103</v>
      </c>
      <c r="D94" t="s">
        <v>156</v>
      </c>
      <c r="E94" s="84">
        <f xml:space="preserve"> J74</f>
        <v>418593.97572123882</v>
      </c>
    </row>
    <row r="95" spans="3:12" ht="15" thickBot="1" x14ac:dyDescent="0.4">
      <c r="C95" s="63" t="s">
        <v>104</v>
      </c>
      <c r="D95" s="64" t="s">
        <v>157</v>
      </c>
      <c r="E95" s="85">
        <f xml:space="preserve"> K75</f>
        <v>261290.17916180548</v>
      </c>
    </row>
  </sheetData>
  <scenarios current="0" show="0">
    <scenario name="8 employees" locked="1" count="1" user="Ethan Heffernan" comment="Created by Ethan Heffernan on 9/7/2025">
      <inputCells r="O65" val="8"/>
    </scenario>
  </scenarios>
  <mergeCells count="31">
    <mergeCell ref="E76:F76"/>
    <mergeCell ref="E78:F78"/>
    <mergeCell ref="E79:F79"/>
    <mergeCell ref="C77:F77"/>
    <mergeCell ref="C68:D68"/>
    <mergeCell ref="E68:F68"/>
    <mergeCell ref="E80:F80"/>
    <mergeCell ref="E70:F70"/>
    <mergeCell ref="E71:F71"/>
    <mergeCell ref="E73:F73"/>
    <mergeCell ref="E74:F74"/>
    <mergeCell ref="E75:F75"/>
    <mergeCell ref="C78:D78"/>
    <mergeCell ref="C79:D79"/>
    <mergeCell ref="C80:D80"/>
    <mergeCell ref="C71:D71"/>
    <mergeCell ref="C73:D73"/>
    <mergeCell ref="C74:D74"/>
    <mergeCell ref="C75:D75"/>
    <mergeCell ref="C76:D76"/>
    <mergeCell ref="C72:F72"/>
    <mergeCell ref="C64:F64"/>
    <mergeCell ref="H71:K71"/>
    <mergeCell ref="H74:H75"/>
    <mergeCell ref="J72:K72"/>
    <mergeCell ref="H64:K64"/>
    <mergeCell ref="C65:F66"/>
    <mergeCell ref="C70:D70"/>
    <mergeCell ref="C67:F67"/>
    <mergeCell ref="E69:F69"/>
    <mergeCell ref="C69:D69"/>
  </mergeCells>
  <phoneticPr fontId="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Path>C:\Users\ehef\Documents\ethanheffernan.com</WorkbookPath>
</file>

<file path=customXml/itemProps1.xml><?xml version="1.0" encoding="utf-8"?>
<ds:datastoreItem xmlns:ds="http://schemas.openxmlformats.org/officeDocument/2006/customXml" ds:itemID="{1A857A4C-42D5-4853-B992-3EE22891D2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109</vt:i4>
      </vt:variant>
    </vt:vector>
  </HeadingPairs>
  <TitlesOfParts>
    <vt:vector size="112" baseType="lpstr">
      <vt:lpstr>Cover</vt:lpstr>
      <vt:lpstr>Assumptions</vt:lpstr>
      <vt:lpstr>Model</vt:lpstr>
      <vt:lpstr>Amortization_Start_Date</vt:lpstr>
      <vt:lpstr>average_monthly_salary</vt:lpstr>
      <vt:lpstr>base_cost_kWh</vt:lpstr>
      <vt:lpstr>base_price_kWh</vt:lpstr>
      <vt:lpstr>benefits_pct</vt:lpstr>
      <vt:lpstr>CapEx</vt:lpstr>
      <vt:lpstr>CapEx_Summation</vt:lpstr>
      <vt:lpstr>cars_initial</vt:lpstr>
      <vt:lpstr>Cash_Flows</vt:lpstr>
      <vt:lpstr>Construction</vt:lpstr>
      <vt:lpstr>Construction_Cost</vt:lpstr>
      <vt:lpstr>Construction_Duration</vt:lpstr>
      <vt:lpstr>cost_kWh</vt:lpstr>
      <vt:lpstr>Cost_of_Land</vt:lpstr>
      <vt:lpstr>Debt_pct</vt:lpstr>
      <vt:lpstr>discount_rate</vt:lpstr>
      <vt:lpstr>EBITDA</vt:lpstr>
      <vt:lpstr>Electricity_Expenses</vt:lpstr>
      <vt:lpstr>electricity_sales_revenue</vt:lpstr>
      <vt:lpstr>Employee_Benefits_Expense</vt:lpstr>
      <vt:lpstr>employee_count</vt:lpstr>
      <vt:lpstr>Equipment_Advance</vt:lpstr>
      <vt:lpstr>Equipment_Cost</vt:lpstr>
      <vt:lpstr>equity_contribution</vt:lpstr>
      <vt:lpstr>Equity_Total</vt:lpstr>
      <vt:lpstr>ev_ebitda_multiple</vt:lpstr>
      <vt:lpstr>FCFE</vt:lpstr>
      <vt:lpstr>Fixed_Operating_Expenses</vt:lpstr>
      <vt:lpstr>gross_revenue</vt:lpstr>
      <vt:lpstr>growth_rate_slow</vt:lpstr>
      <vt:lpstr>growth_slowdown_date</vt:lpstr>
      <vt:lpstr>i_rate</vt:lpstr>
      <vt:lpstr>In_Store_Sales_Expenses</vt:lpstr>
      <vt:lpstr>inflation_electricity</vt:lpstr>
      <vt:lpstr>inflation_opex</vt:lpstr>
      <vt:lpstr>inflation_store</vt:lpstr>
      <vt:lpstr>Installment_Amt_1</vt:lpstr>
      <vt:lpstr>Installment_Amt_2</vt:lpstr>
      <vt:lpstr>Installment_Date_1</vt:lpstr>
      <vt:lpstr>Installment_Date_2</vt:lpstr>
      <vt:lpstr>interest</vt:lpstr>
      <vt:lpstr>Interest_Start_Date</vt:lpstr>
      <vt:lpstr>Land</vt:lpstr>
      <vt:lpstr>Liquidation_cf</vt:lpstr>
      <vt:lpstr>loan_add</vt:lpstr>
      <vt:lpstr>loan_draw</vt:lpstr>
      <vt:lpstr>Loan_Total</vt:lpstr>
      <vt:lpstr>mini_avg_charge</vt:lpstr>
      <vt:lpstr>mini_batt_capacity</vt:lpstr>
      <vt:lpstr>mini_customer_FCST</vt:lpstr>
      <vt:lpstr>Mini_Customers_In_Store_Sales</vt:lpstr>
      <vt:lpstr>Mini_Customers_Usage__kWh</vt:lpstr>
      <vt:lpstr>mini_growth</vt:lpstr>
      <vt:lpstr>mini_ini_pct</vt:lpstr>
      <vt:lpstr>mini_initial</vt:lpstr>
      <vt:lpstr>mini_sales_per_car</vt:lpstr>
      <vt:lpstr>mini_take_rate</vt:lpstr>
      <vt:lpstr>misc_expenses</vt:lpstr>
      <vt:lpstr>Miscellaneous_Expense</vt:lpstr>
      <vt:lpstr>Model_Start_Date</vt:lpstr>
      <vt:lpstr>Month</vt:lpstr>
      <vt:lpstr>monthly_subsidy</vt:lpstr>
      <vt:lpstr>Operating_Expenses</vt:lpstr>
      <vt:lpstr>ops_slowdown_mo</vt:lpstr>
      <vt:lpstr>ops_start_date</vt:lpstr>
      <vt:lpstr>ops_start_mo</vt:lpstr>
      <vt:lpstr>payment</vt:lpstr>
      <vt:lpstr>Period_End</vt:lpstr>
      <vt:lpstr>period_ending_balance</vt:lpstr>
      <vt:lpstr>period_start</vt:lpstr>
      <vt:lpstr>period_starting_balance</vt:lpstr>
      <vt:lpstr>prem_avg_charge</vt:lpstr>
      <vt:lpstr>prem_batt_capacity</vt:lpstr>
      <vt:lpstr>prem_customer_FCST</vt:lpstr>
      <vt:lpstr>prem_growth</vt:lpstr>
      <vt:lpstr>prem_ini_pct</vt:lpstr>
      <vt:lpstr>prem_initial</vt:lpstr>
      <vt:lpstr>prem_sales_per_car</vt:lpstr>
      <vt:lpstr>prem_take_rate</vt:lpstr>
      <vt:lpstr>Premium_Customers_In_Store_Sales</vt:lpstr>
      <vt:lpstr>Premium_Customers_Usage__kWh</vt:lpstr>
      <vt:lpstr>price_kWh</vt:lpstr>
      <vt:lpstr>principal_repayment</vt:lpstr>
      <vt:lpstr>reg_avg_charge</vt:lpstr>
      <vt:lpstr>reg_batt_capacity</vt:lpstr>
      <vt:lpstr>reg_customer_FCST</vt:lpstr>
      <vt:lpstr>reg_growth</vt:lpstr>
      <vt:lpstr>reg_ini_pct</vt:lpstr>
      <vt:lpstr>reg_initial</vt:lpstr>
      <vt:lpstr>reg_sales_per_car</vt:lpstr>
      <vt:lpstr>reg_take_rate</vt:lpstr>
      <vt:lpstr>Regular_Customers_In_Store_Sales</vt:lpstr>
      <vt:lpstr>Regular_Customers_Usage__kWh</vt:lpstr>
      <vt:lpstr>Repayment_Start_Date</vt:lpstr>
      <vt:lpstr>repayment_years</vt:lpstr>
      <vt:lpstr>Salary_Expense</vt:lpstr>
      <vt:lpstr>Social_Security_Tax_Expense</vt:lpstr>
      <vt:lpstr>social_security_tax_pct</vt:lpstr>
      <vt:lpstr>store_COS_pct</vt:lpstr>
      <vt:lpstr>store_sales_revenue</vt:lpstr>
      <vt:lpstr>Subsidized_EBITDA</vt:lpstr>
      <vt:lpstr>subsidy_annual</vt:lpstr>
      <vt:lpstr>subsidy_fraction_2023</vt:lpstr>
      <vt:lpstr>subsidy_fraction_2024</vt:lpstr>
      <vt:lpstr>subsidy_year</vt:lpstr>
      <vt:lpstr>target_ebitda_2022</vt:lpstr>
      <vt:lpstr>Terminal_CF</vt:lpstr>
      <vt:lpstr>terminal_value</vt:lpstr>
      <vt:lpstr>total_kWh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Heffernan</dc:creator>
  <cp:lastModifiedBy>Ethan T Heffernan</cp:lastModifiedBy>
  <dcterms:created xsi:type="dcterms:W3CDTF">2020-09-30T11:35:30Z</dcterms:created>
  <dcterms:modified xsi:type="dcterms:W3CDTF">2025-10-11T00:27:08Z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Path">
    <vt:lpwstr>{1A857A4C-42D5-4853-B992-3EE22891D295}</vt:lpwstr>
  </property>
  <property fmtid="{D5CDD505-2E9C-101B-9397-08002B2CF9AE}" pid="3" name="Last Edited">
    <vt:lpwstr>10/11/2025 12:27:08 AM +00:00</vt:lpwstr>
  </property>
</Properties>
</file>